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Renate\Desktop\"/>
    </mc:Choice>
  </mc:AlternateContent>
  <xr:revisionPtr revIDLastSave="0" documentId="8_{B8088944-9953-466A-B717-6CEF1552DA8F}" xr6:coauthVersionLast="47" xr6:coauthVersionMax="47" xr10:uidLastSave="{00000000-0000-0000-0000-000000000000}"/>
  <bookViews>
    <workbookView xWindow="-108" yWindow="-108" windowWidth="23256" windowHeight="12576" tabRatio="757"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state="hidden" r:id="rId12"/>
    <sheet name="11.Region" sheetId="12"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2" i="4" l="1"/>
  <c r="K90" i="4" s="1"/>
  <c r="C2" i="13"/>
  <c r="C1" i="13"/>
  <c r="D352" i="13" s="1"/>
  <c r="A35" i="12" s="1"/>
  <c r="I26" i="5"/>
  <c r="I32" i="5"/>
  <c r="I23" i="5"/>
  <c r="H40" i="5"/>
  <c r="D88" i="4"/>
  <c r="D87" i="4"/>
  <c r="K86" i="4" s="1"/>
  <c r="I35" i="5"/>
  <c r="C34" i="11"/>
  <c r="I36" i="5"/>
  <c r="C35" i="11"/>
  <c r="I37" i="5"/>
  <c r="C36" i="11"/>
  <c r="C37" i="11"/>
  <c r="J37" i="11"/>
  <c r="D82" i="4"/>
  <c r="K81" i="4" s="1"/>
  <c r="I19" i="5"/>
  <c r="I20" i="5" s="1"/>
  <c r="D79" i="4"/>
  <c r="D78" i="4"/>
  <c r="K77" i="4" s="1"/>
  <c r="M43" i="5"/>
  <c r="K53" i="5"/>
  <c r="L76" i="4"/>
  <c r="D76" i="4"/>
  <c r="D74" i="4"/>
  <c r="D73" i="4"/>
  <c r="K72" i="4" s="1"/>
  <c r="I33" i="5"/>
  <c r="P37" i="5"/>
  <c r="D70" i="4"/>
  <c r="D69" i="4"/>
  <c r="K68" i="4"/>
  <c r="D66" i="4"/>
  <c r="K64" i="4" s="1"/>
  <c r="D65" i="4"/>
  <c r="N37" i="5"/>
  <c r="D61" i="4"/>
  <c r="O61" i="4"/>
  <c r="D62" i="4"/>
  <c r="K60" i="4"/>
  <c r="D60" i="4" s="1"/>
  <c r="M37" i="5"/>
  <c r="K52" i="5"/>
  <c r="L59" i="4"/>
  <c r="D59" i="4"/>
  <c r="D57" i="4"/>
  <c r="D56" i="4"/>
  <c r="D55" i="4"/>
  <c r="K54" i="4" s="1"/>
  <c r="C10" i="12"/>
  <c r="C11" i="12"/>
  <c r="C12" i="12"/>
  <c r="D13" i="12"/>
  <c r="I13" i="12"/>
  <c r="C13" i="12"/>
  <c r="D52" i="4"/>
  <c r="D51" i="4"/>
  <c r="D50" i="4"/>
  <c r="D47" i="4"/>
  <c r="D46" i="4"/>
  <c r="K44" i="4" s="1"/>
  <c r="D45" i="4"/>
  <c r="N30" i="5"/>
  <c r="D42" i="4"/>
  <c r="D41" i="4"/>
  <c r="D40" i="4"/>
  <c r="I25" i="5"/>
  <c r="B10" i="12"/>
  <c r="I13" i="5"/>
  <c r="C3" i="12" s="1"/>
  <c r="I14" i="5"/>
  <c r="C4" i="12"/>
  <c r="I15" i="5"/>
  <c r="C5" i="12"/>
  <c r="I16" i="5"/>
  <c r="C6" i="12"/>
  <c r="I17" i="5"/>
  <c r="C7" i="12"/>
  <c r="F15" i="3"/>
  <c r="I18" i="5"/>
  <c r="C8" i="12" s="1"/>
  <c r="I21" i="5"/>
  <c r="I22" i="5"/>
  <c r="G24" i="5"/>
  <c r="P24" i="5"/>
  <c r="D35" i="4" s="1"/>
  <c r="D33" i="4"/>
  <c r="D32" i="4"/>
  <c r="K31" i="4"/>
  <c r="I24" i="5"/>
  <c r="E22" i="5"/>
  <c r="D27" i="4"/>
  <c r="D26" i="4"/>
  <c r="K24" i="4" s="1"/>
  <c r="D25" i="4"/>
  <c r="E23" i="5"/>
  <c r="D22" i="4"/>
  <c r="K20" i="4" s="1"/>
  <c r="D21" i="4"/>
  <c r="K17" i="4"/>
  <c r="D15" i="4"/>
  <c r="K13" i="4" s="1"/>
  <c r="N16" i="5"/>
  <c r="M16" i="5"/>
  <c r="D10" i="4"/>
  <c r="N76" i="4"/>
  <c r="N59" i="4"/>
  <c r="R53" i="5"/>
  <c r="K66" i="5" s="1"/>
  <c r="R52" i="5"/>
  <c r="K65" i="5" s="1"/>
  <c r="M10" i="4"/>
  <c r="O10" i="4"/>
  <c r="L10" i="4"/>
  <c r="M3" i="1"/>
  <c r="M4" i="1"/>
  <c r="M5" i="1"/>
  <c r="M6" i="1"/>
  <c r="M7" i="1"/>
  <c r="M8" i="1"/>
  <c r="M9" i="1"/>
  <c r="M10" i="1"/>
  <c r="M11" i="1"/>
  <c r="M12" i="1"/>
  <c r="M2" i="1"/>
  <c r="F43" i="3"/>
  <c r="D7" i="3"/>
  <c r="N18" i="4"/>
  <c r="N11" i="4"/>
  <c r="C4" i="13"/>
  <c r="C5" i="13"/>
  <c r="C6" i="13"/>
  <c r="C7" i="13"/>
  <c r="C8" i="13"/>
  <c r="C9" i="13"/>
  <c r="C10" i="13"/>
  <c r="C11" i="13"/>
  <c r="C12" i="13"/>
  <c r="C3" i="13"/>
  <c r="M57" i="4"/>
  <c r="K561" i="13"/>
  <c r="K560" i="13"/>
  <c r="K559" i="13"/>
  <c r="K558" i="13"/>
  <c r="K557" i="13"/>
  <c r="K556" i="13"/>
  <c r="K555" i="13"/>
  <c r="K554" i="13"/>
  <c r="K553" i="13"/>
  <c r="K552" i="13"/>
  <c r="K551" i="13"/>
  <c r="K550" i="13"/>
  <c r="K549" i="13"/>
  <c r="K548" i="13"/>
  <c r="K547" i="13"/>
  <c r="K546" i="13"/>
  <c r="K545" i="13"/>
  <c r="K544" i="13"/>
  <c r="K543" i="13"/>
  <c r="K542" i="13"/>
  <c r="K541" i="13"/>
  <c r="K540" i="13"/>
  <c r="K539" i="13"/>
  <c r="K538" i="13"/>
  <c r="K537" i="13"/>
  <c r="K536" i="13"/>
  <c r="K535" i="13"/>
  <c r="K534" i="13"/>
  <c r="K533" i="13"/>
  <c r="K532" i="13"/>
  <c r="K531" i="13"/>
  <c r="K530" i="13"/>
  <c r="K529" i="13"/>
  <c r="K528" i="13"/>
  <c r="K527" i="13"/>
  <c r="K526" i="13"/>
  <c r="K525" i="13"/>
  <c r="K524" i="13"/>
  <c r="K523" i="13"/>
  <c r="K522" i="13"/>
  <c r="K521" i="13"/>
  <c r="K520" i="13"/>
  <c r="K519" i="13"/>
  <c r="K518" i="13"/>
  <c r="K517" i="13"/>
  <c r="K516" i="13"/>
  <c r="K515" i="13"/>
  <c r="K514" i="13"/>
  <c r="K513" i="13"/>
  <c r="K512" i="13"/>
  <c r="K511" i="13"/>
  <c r="K510" i="13"/>
  <c r="K509" i="13"/>
  <c r="K508" i="13"/>
  <c r="K507" i="13"/>
  <c r="K506" i="13"/>
  <c r="K505" i="13"/>
  <c r="K504" i="13"/>
  <c r="K503" i="13"/>
  <c r="K502" i="13"/>
  <c r="K501" i="13"/>
  <c r="K500" i="13"/>
  <c r="K499" i="13"/>
  <c r="K498" i="13"/>
  <c r="K497" i="13"/>
  <c r="K496" i="13"/>
  <c r="K495" i="13"/>
  <c r="K494" i="13"/>
  <c r="K493" i="13"/>
  <c r="K492" i="13"/>
  <c r="K491" i="13"/>
  <c r="K490" i="13"/>
  <c r="K489" i="13"/>
  <c r="K488" i="13"/>
  <c r="K487" i="13"/>
  <c r="K486" i="13"/>
  <c r="K485" i="13"/>
  <c r="K484" i="13"/>
  <c r="K483" i="13"/>
  <c r="K482" i="13"/>
  <c r="K481" i="13"/>
  <c r="K480" i="13"/>
  <c r="K479" i="13"/>
  <c r="K478" i="13"/>
  <c r="K477" i="13"/>
  <c r="K476" i="13"/>
  <c r="K475" i="13"/>
  <c r="K474" i="13"/>
  <c r="K473" i="13"/>
  <c r="K472" i="13"/>
  <c r="K471" i="13"/>
  <c r="K470" i="13"/>
  <c r="K469" i="13"/>
  <c r="K468" i="13"/>
  <c r="K467" i="13"/>
  <c r="K466" i="13"/>
  <c r="K465" i="13"/>
  <c r="K464" i="13"/>
  <c r="K463" i="13"/>
  <c r="K462" i="13"/>
  <c r="K461" i="13"/>
  <c r="K460" i="13"/>
  <c r="K459" i="13"/>
  <c r="K458" i="13"/>
  <c r="K457" i="13"/>
  <c r="K456" i="13"/>
  <c r="K455" i="13"/>
  <c r="K454" i="13"/>
  <c r="K453" i="13"/>
  <c r="K452" i="13"/>
  <c r="K451" i="13"/>
  <c r="K450" i="13"/>
  <c r="K449" i="13"/>
  <c r="K448" i="13"/>
  <c r="K447" i="13"/>
  <c r="K446" i="13"/>
  <c r="K445" i="13"/>
  <c r="K444" i="13"/>
  <c r="K443" i="13"/>
  <c r="K442" i="13"/>
  <c r="K441" i="13"/>
  <c r="K440" i="13"/>
  <c r="K439" i="13"/>
  <c r="K438" i="13"/>
  <c r="K437" i="13"/>
  <c r="K436" i="13"/>
  <c r="K435" i="13"/>
  <c r="K434" i="13"/>
  <c r="K433" i="13"/>
  <c r="K432" i="13"/>
  <c r="K431" i="13"/>
  <c r="K430" i="13"/>
  <c r="K429" i="13"/>
  <c r="K428" i="13"/>
  <c r="K427" i="13"/>
  <c r="K426" i="13"/>
  <c r="K425" i="13"/>
  <c r="K424" i="13"/>
  <c r="K423" i="13"/>
  <c r="K422" i="13"/>
  <c r="K421" i="13"/>
  <c r="K420" i="13"/>
  <c r="K419" i="13"/>
  <c r="K418" i="13"/>
  <c r="K417" i="13"/>
  <c r="K416" i="13"/>
  <c r="K415" i="13"/>
  <c r="K414" i="13"/>
  <c r="K413" i="13"/>
  <c r="K412" i="13"/>
  <c r="K411" i="13"/>
  <c r="K410" i="13"/>
  <c r="K409" i="13"/>
  <c r="K408" i="13"/>
  <c r="K407" i="13"/>
  <c r="K406" i="13"/>
  <c r="K405" i="13"/>
  <c r="K404" i="13"/>
  <c r="K403" i="13"/>
  <c r="K402" i="13"/>
  <c r="K401" i="13"/>
  <c r="K400" i="13"/>
  <c r="K399" i="13"/>
  <c r="K398" i="13"/>
  <c r="K397" i="13"/>
  <c r="K396" i="13"/>
  <c r="K395" i="13"/>
  <c r="K394" i="13"/>
  <c r="K393" i="13"/>
  <c r="K392" i="13"/>
  <c r="K391" i="13"/>
  <c r="K390" i="13"/>
  <c r="K389" i="13"/>
  <c r="K388" i="13"/>
  <c r="K387" i="13"/>
  <c r="K386" i="13"/>
  <c r="K385" i="13"/>
  <c r="K384" i="13"/>
  <c r="K383" i="13"/>
  <c r="K382" i="13"/>
  <c r="K381" i="13"/>
  <c r="K380" i="13"/>
  <c r="K379" i="13"/>
  <c r="K378" i="13"/>
  <c r="K377" i="13"/>
  <c r="K376" i="13"/>
  <c r="K375" i="13"/>
  <c r="K374" i="13"/>
  <c r="K373" i="13"/>
  <c r="K372" i="13"/>
  <c r="K371" i="13"/>
  <c r="K370" i="13"/>
  <c r="K369" i="13"/>
  <c r="K368" i="13"/>
  <c r="K367" i="13"/>
  <c r="K366" i="13"/>
  <c r="K365" i="13"/>
  <c r="K364" i="13"/>
  <c r="K363" i="13"/>
  <c r="K362" i="13"/>
  <c r="K361" i="13"/>
  <c r="K360" i="13"/>
  <c r="K359" i="13"/>
  <c r="K358" i="13"/>
  <c r="K357" i="13"/>
  <c r="K356" i="13"/>
  <c r="K355" i="13"/>
  <c r="K354" i="13"/>
  <c r="K353" i="13"/>
  <c r="K352" i="13"/>
  <c r="K351" i="13"/>
  <c r="K350" i="13"/>
  <c r="K349" i="13"/>
  <c r="K348" i="13"/>
  <c r="K347" i="13"/>
  <c r="K346" i="13"/>
  <c r="K345" i="13"/>
  <c r="K344" i="13"/>
  <c r="K343" i="13"/>
  <c r="K342" i="13"/>
  <c r="K341" i="13"/>
  <c r="K340" i="13"/>
  <c r="K339" i="13"/>
  <c r="G338" i="13"/>
  <c r="G337" i="13"/>
  <c r="G336" i="13"/>
  <c r="G335" i="13"/>
  <c r="G334" i="13"/>
  <c r="G333" i="13"/>
  <c r="G331" i="13"/>
  <c r="G328" i="13"/>
  <c r="E153" i="13"/>
  <c r="F59" i="13"/>
  <c r="F57" i="13"/>
  <c r="L37" i="11"/>
  <c r="E30" i="3"/>
  <c r="F41" i="3"/>
  <c r="M14" i="4"/>
  <c r="O14" i="4"/>
  <c r="L14" i="4"/>
  <c r="M15" i="4"/>
  <c r="K15" i="4"/>
  <c r="O15" i="4"/>
  <c r="L15" i="4"/>
  <c r="M21" i="4"/>
  <c r="O21" i="4"/>
  <c r="L21" i="4"/>
  <c r="M22" i="4"/>
  <c r="O22" i="4"/>
  <c r="L22" i="4"/>
  <c r="K25" i="4"/>
  <c r="O25" i="4"/>
  <c r="L25" i="4"/>
  <c r="K26" i="4"/>
  <c r="O26" i="4"/>
  <c r="L26" i="4"/>
  <c r="M27" i="4"/>
  <c r="O27" i="4"/>
  <c r="L27" i="4"/>
  <c r="L29" i="4"/>
  <c r="M29" i="4"/>
  <c r="K32" i="4"/>
  <c r="O32" i="4"/>
  <c r="L32" i="4"/>
  <c r="K33" i="4"/>
  <c r="O33" i="4"/>
  <c r="L33" i="4"/>
  <c r="M40" i="4"/>
  <c r="O40" i="4"/>
  <c r="L40" i="4"/>
  <c r="M41" i="4"/>
  <c r="O41" i="4"/>
  <c r="L41" i="4"/>
  <c r="K42" i="4"/>
  <c r="O42" i="4"/>
  <c r="L42" i="4"/>
  <c r="M45" i="4"/>
  <c r="O45" i="4"/>
  <c r="L45" i="4"/>
  <c r="M46" i="4"/>
  <c r="O46" i="4"/>
  <c r="L46" i="4"/>
  <c r="M47" i="4"/>
  <c r="O47" i="4"/>
  <c r="L47" i="4"/>
  <c r="M50" i="4"/>
  <c r="O50" i="4"/>
  <c r="L50" i="4"/>
  <c r="M51" i="4"/>
  <c r="O51" i="4"/>
  <c r="L51" i="4"/>
  <c r="M52" i="4"/>
  <c r="O52" i="4"/>
  <c r="L52" i="4"/>
  <c r="M55" i="4"/>
  <c r="O55" i="4"/>
  <c r="L55" i="4"/>
  <c r="K55" i="4"/>
  <c r="M56" i="4"/>
  <c r="O56" i="4"/>
  <c r="L56" i="4"/>
  <c r="O57" i="4"/>
  <c r="L57" i="4"/>
  <c r="K61" i="4"/>
  <c r="L61" i="4"/>
  <c r="M62" i="4"/>
  <c r="O62" i="4"/>
  <c r="L62" i="4"/>
  <c r="M65" i="4"/>
  <c r="K65" i="4"/>
  <c r="O65" i="4"/>
  <c r="L65" i="4"/>
  <c r="K66" i="4"/>
  <c r="O66" i="4"/>
  <c r="L66" i="4"/>
  <c r="M69" i="4"/>
  <c r="O69" i="4"/>
  <c r="L69" i="4"/>
  <c r="M70" i="4"/>
  <c r="O70" i="4"/>
  <c r="L70" i="4"/>
  <c r="M73" i="4"/>
  <c r="O73" i="4"/>
  <c r="L73" i="4"/>
  <c r="K74" i="4"/>
  <c r="O74" i="4"/>
  <c r="L74" i="4"/>
  <c r="M78" i="4"/>
  <c r="O78" i="4"/>
  <c r="L78" i="4"/>
  <c r="M79" i="4"/>
  <c r="O79" i="4"/>
  <c r="L79" i="4"/>
  <c r="K82" i="4"/>
  <c r="O82" i="4"/>
  <c r="L82" i="4"/>
  <c r="K83" i="4"/>
  <c r="O83" i="4"/>
  <c r="L83" i="4"/>
  <c r="K87" i="4"/>
  <c r="O87" i="4"/>
  <c r="L87" i="4"/>
  <c r="K88" i="4"/>
  <c r="O88" i="4"/>
  <c r="L88" i="4"/>
  <c r="K91" i="4"/>
  <c r="O91" i="4"/>
  <c r="L91" i="4"/>
  <c r="K92" i="4"/>
  <c r="O92" i="4"/>
  <c r="L92" i="4"/>
  <c r="I10" i="5"/>
  <c r="B3" i="12"/>
  <c r="Q14" i="5"/>
  <c r="I27" i="5"/>
  <c r="I28" i="5"/>
  <c r="I29" i="5"/>
  <c r="I30" i="5"/>
  <c r="M30" i="5"/>
  <c r="G35" i="5"/>
  <c r="G36" i="5"/>
  <c r="G37" i="5"/>
  <c r="K14" i="4"/>
  <c r="K56" i="4"/>
  <c r="M74" i="4"/>
  <c r="K52" i="4"/>
  <c r="K62" i="4"/>
  <c r="K27" i="4"/>
  <c r="M87" i="4"/>
  <c r="M91" i="4"/>
  <c r="M61" i="4"/>
  <c r="K51" i="4"/>
  <c r="K47" i="4"/>
  <c r="M32" i="4"/>
  <c r="K21" i="4"/>
  <c r="M26" i="4"/>
  <c r="K69" i="4"/>
  <c r="I31" i="5"/>
  <c r="K46" i="4"/>
  <c r="K79" i="4"/>
  <c r="K41" i="4"/>
  <c r="C38" i="11"/>
  <c r="O30" i="5"/>
  <c r="M83" i="4"/>
  <c r="K39" i="4"/>
  <c r="M25" i="4"/>
  <c r="K73" i="4"/>
  <c r="M88" i="4"/>
  <c r="M82" i="4"/>
  <c r="K57" i="4"/>
  <c r="K49" i="4"/>
  <c r="O49" i="4" s="1"/>
  <c r="L49" i="4" s="1"/>
  <c r="M66" i="4"/>
  <c r="K70" i="4"/>
  <c r="K22" i="4"/>
  <c r="K50" i="4"/>
  <c r="O35" i="4"/>
  <c r="L35" i="4"/>
  <c r="F35" i="4"/>
  <c r="O39" i="4"/>
  <c r="L39" i="4" s="1"/>
  <c r="F39" i="4"/>
  <c r="M42" i="4"/>
  <c r="F10" i="4"/>
  <c r="K45" i="4"/>
  <c r="M92" i="4"/>
  <c r="K78" i="4"/>
  <c r="M33" i="4"/>
  <c r="K40" i="4"/>
  <c r="M14" i="5"/>
  <c r="M39" i="4"/>
  <c r="M28" i="5"/>
  <c r="O28" i="5"/>
  <c r="M49" i="4"/>
  <c r="F60" i="4"/>
  <c r="O60" i="4"/>
  <c r="L60" i="4" s="1"/>
  <c r="O64" i="4" l="1"/>
  <c r="L64" i="4" s="1"/>
  <c r="F64" i="4"/>
  <c r="D64" i="4"/>
  <c r="F13" i="4"/>
  <c r="O13" i="4"/>
  <c r="L13" i="4" s="1"/>
  <c r="D13" i="4"/>
  <c r="M35" i="4"/>
  <c r="P22" i="5"/>
  <c r="M35" i="5"/>
  <c r="M65" i="5" s="1"/>
  <c r="M60" i="4"/>
  <c r="F72" i="4"/>
  <c r="O72" i="4"/>
  <c r="L72" i="4" s="1"/>
  <c r="D72" i="4"/>
  <c r="O44" i="4"/>
  <c r="L44" i="4" s="1"/>
  <c r="F44" i="4"/>
  <c r="D44" i="4"/>
  <c r="F77" i="4"/>
  <c r="D77" i="4"/>
  <c r="O77" i="4"/>
  <c r="L77" i="4" s="1"/>
  <c r="F49" i="4"/>
  <c r="N82" i="4"/>
  <c r="N15" i="4"/>
  <c r="N24" i="5"/>
  <c r="N43" i="5"/>
  <c r="D119" i="13"/>
  <c r="C20" i="4" s="1"/>
  <c r="D268" i="13"/>
  <c r="B4" i="11" s="1"/>
  <c r="D68" i="13"/>
  <c r="B10" i="2" s="1"/>
  <c r="D142" i="13"/>
  <c r="C43" i="4" s="1"/>
  <c r="D118" i="13"/>
  <c r="C19" i="4" s="1"/>
  <c r="D20" i="13"/>
  <c r="D71" i="13"/>
  <c r="D2" i="13"/>
  <c r="D215" i="13"/>
  <c r="D65" i="13"/>
  <c r="B7" i="2" s="1"/>
  <c r="D334" i="13"/>
  <c r="D223" i="13"/>
  <c r="D107" i="13"/>
  <c r="C8" i="4" s="1"/>
  <c r="N92" i="4"/>
  <c r="D308" i="13"/>
  <c r="B22" i="3" s="1"/>
  <c r="D49" i="13"/>
  <c r="D233" i="13"/>
  <c r="D290" i="13"/>
  <c r="B26" i="11" s="1"/>
  <c r="D202" i="13"/>
  <c r="C13" i="3" s="1"/>
  <c r="G16" i="5" s="1"/>
  <c r="K6" i="12" s="1"/>
  <c r="D283" i="13"/>
  <c r="B19" i="11" s="1"/>
  <c r="D31" i="13"/>
  <c r="B19" i="1" s="1"/>
  <c r="D227" i="13"/>
  <c r="D184" i="13"/>
  <c r="C85" i="4" s="1"/>
  <c r="D157" i="13"/>
  <c r="C58" i="4" s="1"/>
  <c r="D277" i="13"/>
  <c r="B13" i="11" s="1"/>
  <c r="D289" i="13"/>
  <c r="B25" i="11" s="1"/>
  <c r="D120" i="13"/>
  <c r="C21" i="4" s="1"/>
  <c r="D237" i="13"/>
  <c r="D108" i="13"/>
  <c r="C9" i="4" s="1"/>
  <c r="D17" i="13"/>
  <c r="D15" i="1" s="1"/>
  <c r="D305" i="13"/>
  <c r="B19" i="3" s="1"/>
  <c r="D23" i="13"/>
  <c r="D21" i="1" s="1"/>
  <c r="D213" i="13"/>
  <c r="B3" i="6" s="1"/>
  <c r="D113" i="13"/>
  <c r="C14" i="4" s="1"/>
  <c r="D136" i="13"/>
  <c r="C37" i="4" s="1"/>
  <c r="D338" i="13"/>
  <c r="D537" i="13"/>
  <c r="A220" i="12" s="1"/>
  <c r="D222" i="13"/>
  <c r="D242" i="13"/>
  <c r="B3" i="8" s="1"/>
  <c r="D116" i="13"/>
  <c r="B116" i="13" s="1"/>
  <c r="K8" i="6" s="1"/>
  <c r="D259" i="13"/>
  <c r="C19" i="10" s="1"/>
  <c r="D252" i="13"/>
  <c r="C12" i="10" s="1"/>
  <c r="D232" i="13"/>
  <c r="D317" i="13"/>
  <c r="B37" i="3" s="1"/>
  <c r="D201" i="13"/>
  <c r="D162" i="13"/>
  <c r="C63" i="4" s="1"/>
  <c r="D326" i="13"/>
  <c r="D282" i="13"/>
  <c r="B18" i="11" s="1"/>
  <c r="D112" i="13"/>
  <c r="D52" i="13"/>
  <c r="M2" i="3" s="1"/>
  <c r="D88" i="13"/>
  <c r="D185" i="13"/>
  <c r="D279" i="13"/>
  <c r="B15" i="11" s="1"/>
  <c r="D296" i="13"/>
  <c r="B32" i="11" s="1"/>
  <c r="D269" i="13"/>
  <c r="B5" i="11" s="1"/>
  <c r="D84" i="13"/>
  <c r="D197" i="13"/>
  <c r="D127" i="13"/>
  <c r="C28" i="4" s="1"/>
  <c r="D316" i="13"/>
  <c r="B34" i="3" s="1"/>
  <c r="D189" i="13"/>
  <c r="C90" i="4" s="1"/>
  <c r="D236" i="13"/>
  <c r="D16" i="13"/>
  <c r="D14" i="1" s="1"/>
  <c r="D137" i="13"/>
  <c r="B20" i="8" s="1"/>
  <c r="D200" i="13"/>
  <c r="D330" i="13"/>
  <c r="F71" i="4" s="1"/>
  <c r="D322" i="13"/>
  <c r="D40" i="3" s="1"/>
  <c r="D174" i="13"/>
  <c r="C75" i="4" s="1"/>
  <c r="D102" i="13"/>
  <c r="F8" i="4" s="1"/>
  <c r="D169" i="13"/>
  <c r="C70" i="4" s="1"/>
  <c r="D286" i="13"/>
  <c r="B22" i="11" s="1"/>
  <c r="D94" i="13"/>
  <c r="D313" i="13"/>
  <c r="B29" i="3" s="1"/>
  <c r="D505" i="13"/>
  <c r="A188" i="12" s="1"/>
  <c r="D433" i="13"/>
  <c r="A116" i="12" s="1"/>
  <c r="N83" i="4"/>
  <c r="D473" i="13"/>
  <c r="A156" i="12" s="1"/>
  <c r="D401" i="13"/>
  <c r="A84" i="12" s="1"/>
  <c r="D369" i="13"/>
  <c r="A52" i="12" s="1"/>
  <c r="D285" i="13"/>
  <c r="B21" i="11" s="1"/>
  <c r="D58" i="13"/>
  <c r="B38" i="1" s="1"/>
  <c r="D258" i="13"/>
  <c r="C18" i="10" s="1"/>
  <c r="D110" i="13"/>
  <c r="C11" i="4" s="1"/>
  <c r="D29" i="13"/>
  <c r="B11" i="1" s="1"/>
  <c r="D141" i="13"/>
  <c r="C42" i="4" s="1"/>
  <c r="D239" i="13"/>
  <c r="D324" i="13"/>
  <c r="H39" i="5" s="1"/>
  <c r="C46" i="3" s="1"/>
  <c r="D274" i="13"/>
  <c r="B10" i="11" s="1"/>
  <c r="D171" i="13"/>
  <c r="C72" i="4" s="1"/>
  <c r="D196" i="13"/>
  <c r="D240" i="13"/>
  <c r="D291" i="13"/>
  <c r="B27" i="11" s="1"/>
  <c r="D53" i="13"/>
  <c r="M3" i="3" s="1"/>
  <c r="D180" i="13"/>
  <c r="D37" i="13"/>
  <c r="B25" i="1" s="1"/>
  <c r="D129" i="13"/>
  <c r="C30" i="4" s="1"/>
  <c r="D205" i="13"/>
  <c r="A6" i="10" s="1"/>
  <c r="D266" i="13"/>
  <c r="C26" i="10" s="1"/>
  <c r="D9" i="13"/>
  <c r="B8" i="1" s="1"/>
  <c r="D121" i="13"/>
  <c r="C22" i="4" s="1"/>
  <c r="D212" i="13"/>
  <c r="I2" i="6" s="1"/>
  <c r="D56" i="13"/>
  <c r="B36" i="1" s="1"/>
  <c r="D186" i="13"/>
  <c r="C87" i="4" s="1"/>
  <c r="D5" i="13"/>
  <c r="D170" i="13"/>
  <c r="C71" i="4" s="1"/>
  <c r="D85" i="13"/>
  <c r="D80" i="13"/>
  <c r="B24" i="2" s="1"/>
  <c r="D273" i="13"/>
  <c r="B9" i="11" s="1"/>
  <c r="D11" i="13"/>
  <c r="D9" i="1" s="1"/>
  <c r="D191" i="13"/>
  <c r="C92" i="4" s="1"/>
  <c r="D302" i="13"/>
  <c r="F9" i="3" s="1"/>
  <c r="D144" i="13"/>
  <c r="C45" i="4" s="1"/>
  <c r="D12" i="13"/>
  <c r="D10" i="1" s="1"/>
  <c r="D226" i="13"/>
  <c r="N74" i="4"/>
  <c r="N73" i="4"/>
  <c r="N69" i="4"/>
  <c r="D532" i="13"/>
  <c r="A215" i="12" s="1"/>
  <c r="D500" i="13"/>
  <c r="A183" i="12" s="1"/>
  <c r="D468" i="13"/>
  <c r="A151" i="12" s="1"/>
  <c r="D432" i="13"/>
  <c r="A115" i="12" s="1"/>
  <c r="D400" i="13"/>
  <c r="A83" i="12" s="1"/>
  <c r="D368" i="13"/>
  <c r="A51" i="12" s="1"/>
  <c r="N49" i="4"/>
  <c r="N33" i="4"/>
  <c r="D267" i="13"/>
  <c r="D62" i="13"/>
  <c r="B3" i="2" s="1"/>
  <c r="D150" i="13"/>
  <c r="C51" i="4" s="1"/>
  <c r="D154" i="13"/>
  <c r="C55" i="4" s="1"/>
  <c r="D10" i="13"/>
  <c r="B9" i="1" s="1"/>
  <c r="D195" i="13"/>
  <c r="B4" i="3" s="1"/>
  <c r="D251" i="13"/>
  <c r="C11" i="10" s="1"/>
  <c r="D8" i="13"/>
  <c r="B6" i="1" s="1"/>
  <c r="D294" i="13"/>
  <c r="B30" i="11" s="1"/>
  <c r="D3" i="13"/>
  <c r="D204" i="13"/>
  <c r="A2" i="10" s="1"/>
  <c r="D260" i="13"/>
  <c r="C20" i="10" s="1"/>
  <c r="D309" i="13"/>
  <c r="B23" i="3" s="1"/>
  <c r="D90" i="13"/>
  <c r="B3" i="4" s="1"/>
  <c r="D126" i="13"/>
  <c r="C27" i="4" s="1"/>
  <c r="D30" i="13"/>
  <c r="B18" i="1" s="1"/>
  <c r="D143" i="13"/>
  <c r="C44" i="4" s="1"/>
  <c r="D229" i="13"/>
  <c r="D315" i="13"/>
  <c r="B33" i="3" s="1"/>
  <c r="D26" i="13"/>
  <c r="D24" i="1" s="1"/>
  <c r="D190" i="13"/>
  <c r="C91" i="4" s="1"/>
  <c r="D270" i="13"/>
  <c r="B6" i="11" s="1"/>
  <c r="D66" i="13"/>
  <c r="B8" i="2" s="1"/>
  <c r="D306" i="13"/>
  <c r="B20" i="3" s="1"/>
  <c r="D35" i="13"/>
  <c r="B23" i="1" s="1"/>
  <c r="D182" i="13"/>
  <c r="C83" i="4" s="1"/>
  <c r="D244" i="13"/>
  <c r="C4" i="10" s="1"/>
  <c r="D106" i="13"/>
  <c r="J8" i="4" s="1"/>
  <c r="D295" i="13"/>
  <c r="B31" i="11" s="1"/>
  <c r="D59" i="13"/>
  <c r="B39" i="1" s="1"/>
  <c r="D271" i="13"/>
  <c r="B7" i="11" s="1"/>
  <c r="D79" i="13"/>
  <c r="B22" i="2" s="1"/>
  <c r="D253" i="13"/>
  <c r="C13" i="10" s="1"/>
  <c r="D276" i="13"/>
  <c r="B12" i="11" s="1"/>
  <c r="D115" i="13"/>
  <c r="C16" i="4" s="1"/>
  <c r="N32" i="4"/>
  <c r="D553" i="13"/>
  <c r="A236" i="12" s="1"/>
  <c r="D521" i="13"/>
  <c r="A204" i="12" s="1"/>
  <c r="D489" i="13"/>
  <c r="A172" i="12" s="1"/>
  <c r="D457" i="13"/>
  <c r="A140" i="12" s="1"/>
  <c r="D449" i="13"/>
  <c r="A132" i="12" s="1"/>
  <c r="D417" i="13"/>
  <c r="A100" i="12" s="1"/>
  <c r="D385" i="13"/>
  <c r="A68" i="12" s="1"/>
  <c r="D353" i="13"/>
  <c r="A36" i="12" s="1"/>
  <c r="D548" i="13"/>
  <c r="A231" i="12" s="1"/>
  <c r="D516" i="13"/>
  <c r="A199" i="12" s="1"/>
  <c r="D484" i="13"/>
  <c r="A167" i="12" s="1"/>
  <c r="D452" i="13"/>
  <c r="A135" i="12" s="1"/>
  <c r="D448" i="13"/>
  <c r="A131" i="12" s="1"/>
  <c r="D416" i="13"/>
  <c r="A99" i="12" s="1"/>
  <c r="D384" i="13"/>
  <c r="A67" i="12" s="1"/>
  <c r="B119" i="13"/>
  <c r="O8" i="6" s="1"/>
  <c r="D203" i="13"/>
  <c r="B30" i="3" s="1"/>
  <c r="D342" i="13"/>
  <c r="A25" i="12" s="1"/>
  <c r="D346" i="13"/>
  <c r="A29" i="12" s="1"/>
  <c r="D350" i="13"/>
  <c r="A33" i="12" s="1"/>
  <c r="D354" i="13"/>
  <c r="A37" i="12" s="1"/>
  <c r="D358" i="13"/>
  <c r="A41" i="12" s="1"/>
  <c r="D362" i="13"/>
  <c r="A45" i="12" s="1"/>
  <c r="D366" i="13"/>
  <c r="A49" i="12" s="1"/>
  <c r="D370" i="13"/>
  <c r="A53" i="12" s="1"/>
  <c r="D374" i="13"/>
  <c r="A57" i="12" s="1"/>
  <c r="D378" i="13"/>
  <c r="A61" i="12" s="1"/>
  <c r="D382" i="13"/>
  <c r="A65" i="12" s="1"/>
  <c r="D386" i="13"/>
  <c r="A69" i="12" s="1"/>
  <c r="D390" i="13"/>
  <c r="A73" i="12" s="1"/>
  <c r="D394" i="13"/>
  <c r="A77" i="12" s="1"/>
  <c r="D398" i="13"/>
  <c r="A81" i="12" s="1"/>
  <c r="D402" i="13"/>
  <c r="A85" i="12" s="1"/>
  <c r="D406" i="13"/>
  <c r="A89" i="12" s="1"/>
  <c r="D410" i="13"/>
  <c r="A93" i="12" s="1"/>
  <c r="D414" i="13"/>
  <c r="A97" i="12" s="1"/>
  <c r="D418" i="13"/>
  <c r="A101" i="12" s="1"/>
  <c r="D422" i="13"/>
  <c r="A105" i="12" s="1"/>
  <c r="D426" i="13"/>
  <c r="A109" i="12" s="1"/>
  <c r="D430" i="13"/>
  <c r="A113" i="12" s="1"/>
  <c r="D434" i="13"/>
  <c r="A117" i="12" s="1"/>
  <c r="D438" i="13"/>
  <c r="A121" i="12" s="1"/>
  <c r="D442" i="13"/>
  <c r="A125" i="12" s="1"/>
  <c r="D446" i="13"/>
  <c r="A129" i="12" s="1"/>
  <c r="D450" i="13"/>
  <c r="A133" i="12" s="1"/>
  <c r="D454" i="13"/>
  <c r="A137" i="12" s="1"/>
  <c r="D458" i="13"/>
  <c r="A141" i="12" s="1"/>
  <c r="D462" i="13"/>
  <c r="A145" i="12" s="1"/>
  <c r="D466" i="13"/>
  <c r="A149" i="12" s="1"/>
  <c r="D470" i="13"/>
  <c r="A153" i="12" s="1"/>
  <c r="D474" i="13"/>
  <c r="A157" i="12" s="1"/>
  <c r="D478" i="13"/>
  <c r="A161" i="12" s="1"/>
  <c r="D482" i="13"/>
  <c r="A165" i="12" s="1"/>
  <c r="D486" i="13"/>
  <c r="A169" i="12" s="1"/>
  <c r="D490" i="13"/>
  <c r="A173" i="12" s="1"/>
  <c r="D494" i="13"/>
  <c r="A177" i="12" s="1"/>
  <c r="D498" i="13"/>
  <c r="A181" i="12" s="1"/>
  <c r="D502" i="13"/>
  <c r="A185" i="12" s="1"/>
  <c r="D506" i="13"/>
  <c r="A189" i="12" s="1"/>
  <c r="D510" i="13"/>
  <c r="A193" i="12" s="1"/>
  <c r="D514" i="13"/>
  <c r="A197" i="12" s="1"/>
  <c r="D518" i="13"/>
  <c r="A201" i="12" s="1"/>
  <c r="D522" i="13"/>
  <c r="A205" i="12" s="1"/>
  <c r="D526" i="13"/>
  <c r="A209" i="12" s="1"/>
  <c r="D530" i="13"/>
  <c r="A213" i="12" s="1"/>
  <c r="D534" i="13"/>
  <c r="A217" i="12" s="1"/>
  <c r="D538" i="13"/>
  <c r="A221" i="12" s="1"/>
  <c r="D542" i="13"/>
  <c r="A225" i="12" s="1"/>
  <c r="D546" i="13"/>
  <c r="A229" i="12" s="1"/>
  <c r="D550" i="13"/>
  <c r="A233" i="12" s="1"/>
  <c r="D554" i="13"/>
  <c r="A237" i="12" s="1"/>
  <c r="D558" i="13"/>
  <c r="A241" i="12" s="1"/>
  <c r="D99" i="13"/>
  <c r="D104" i="4" s="1"/>
  <c r="E61" i="4" s="1"/>
  <c r="D310" i="13"/>
  <c r="B26" i="3" s="1"/>
  <c r="D133" i="13"/>
  <c r="C34" i="4" s="1"/>
  <c r="D159" i="13"/>
  <c r="B159" i="13" s="1"/>
  <c r="C14" i="6" s="1"/>
  <c r="D278" i="13"/>
  <c r="B14" i="11" s="1"/>
  <c r="D230" i="13"/>
  <c r="D78" i="13"/>
  <c r="D63" i="13"/>
  <c r="B4" i="2" s="1"/>
  <c r="D288" i="13"/>
  <c r="B24" i="11" s="1"/>
  <c r="D243" i="13"/>
  <c r="B3" i="9" s="1"/>
  <c r="D166" i="13"/>
  <c r="C67" i="4" s="1"/>
  <c r="D98" i="13"/>
  <c r="D103" i="4" s="1"/>
  <c r="D32" i="13"/>
  <c r="B20" i="1" s="1"/>
  <c r="D123" i="13"/>
  <c r="D22" i="13"/>
  <c r="D20" i="1" s="1"/>
  <c r="D304" i="13"/>
  <c r="B18" i="3" s="1"/>
  <c r="D262" i="13"/>
  <c r="C22" i="10" s="1"/>
  <c r="D163" i="13"/>
  <c r="D122" i="13"/>
  <c r="B10" i="6" s="1"/>
  <c r="D91" i="13"/>
  <c r="D561" i="13"/>
  <c r="D46" i="13"/>
  <c r="B19" i="6" s="1"/>
  <c r="D95" i="13"/>
  <c r="D311" i="13"/>
  <c r="B27" i="3" s="1"/>
  <c r="D264" i="13"/>
  <c r="C24" i="10" s="1"/>
  <c r="D210" i="13"/>
  <c r="D149" i="13"/>
  <c r="C50" i="4" s="1"/>
  <c r="D339" i="13"/>
  <c r="A22" i="12" s="1"/>
  <c r="D343" i="13"/>
  <c r="A26" i="12" s="1"/>
  <c r="D347" i="13"/>
  <c r="A30" i="12" s="1"/>
  <c r="D351" i="13"/>
  <c r="A34" i="12" s="1"/>
  <c r="D355" i="13"/>
  <c r="A38" i="12" s="1"/>
  <c r="D359" i="13"/>
  <c r="A42" i="12" s="1"/>
  <c r="D363" i="13"/>
  <c r="A46" i="12" s="1"/>
  <c r="D367" i="13"/>
  <c r="A50" i="12" s="1"/>
  <c r="D371" i="13"/>
  <c r="A54" i="12" s="1"/>
  <c r="D375" i="13"/>
  <c r="A58" i="12" s="1"/>
  <c r="D379" i="13"/>
  <c r="A62" i="12" s="1"/>
  <c r="D383" i="13"/>
  <c r="A66" i="12" s="1"/>
  <c r="D387" i="13"/>
  <c r="A70" i="12" s="1"/>
  <c r="D391" i="13"/>
  <c r="A74" i="12" s="1"/>
  <c r="D395" i="13"/>
  <c r="A78" i="12" s="1"/>
  <c r="D399" i="13"/>
  <c r="A82" i="12" s="1"/>
  <c r="D403" i="13"/>
  <c r="A86" i="12" s="1"/>
  <c r="D407" i="13"/>
  <c r="A90" i="12" s="1"/>
  <c r="D411" i="13"/>
  <c r="A94" i="12" s="1"/>
  <c r="D415" i="13"/>
  <c r="A98" i="12" s="1"/>
  <c r="D419" i="13"/>
  <c r="A102" i="12" s="1"/>
  <c r="D423" i="13"/>
  <c r="A106" i="12" s="1"/>
  <c r="D427" i="13"/>
  <c r="A110" i="12" s="1"/>
  <c r="D431" i="13"/>
  <c r="A114" i="12" s="1"/>
  <c r="D435" i="13"/>
  <c r="A118" i="12" s="1"/>
  <c r="D439" i="13"/>
  <c r="A122" i="12" s="1"/>
  <c r="D443" i="13"/>
  <c r="A126" i="12" s="1"/>
  <c r="D447" i="13"/>
  <c r="A130" i="12" s="1"/>
  <c r="D451" i="13"/>
  <c r="A134" i="12" s="1"/>
  <c r="D455" i="13"/>
  <c r="A138" i="12" s="1"/>
  <c r="D459" i="13"/>
  <c r="A142" i="12" s="1"/>
  <c r="D463" i="13"/>
  <c r="A146" i="12" s="1"/>
  <c r="D467" i="13"/>
  <c r="A150" i="12" s="1"/>
  <c r="D471" i="13"/>
  <c r="A154" i="12" s="1"/>
  <c r="D475" i="13"/>
  <c r="A158" i="12" s="1"/>
  <c r="D479" i="13"/>
  <c r="A162" i="12" s="1"/>
  <c r="D483" i="13"/>
  <c r="A166" i="12" s="1"/>
  <c r="D487" i="13"/>
  <c r="A170" i="12" s="1"/>
  <c r="D491" i="13"/>
  <c r="A174" i="12" s="1"/>
  <c r="D495" i="13"/>
  <c r="A178" i="12" s="1"/>
  <c r="D499" i="13"/>
  <c r="A182" i="12" s="1"/>
  <c r="D503" i="13"/>
  <c r="A186" i="12" s="1"/>
  <c r="D507" i="13"/>
  <c r="A190" i="12" s="1"/>
  <c r="D511" i="13"/>
  <c r="A194" i="12" s="1"/>
  <c r="D515" i="13"/>
  <c r="A198" i="12" s="1"/>
  <c r="D519" i="13"/>
  <c r="A202" i="12" s="1"/>
  <c r="D523" i="13"/>
  <c r="A206" i="12" s="1"/>
  <c r="D527" i="13"/>
  <c r="A210" i="12" s="1"/>
  <c r="D531" i="13"/>
  <c r="A214" i="12" s="1"/>
  <c r="D535" i="13"/>
  <c r="A218" i="12" s="1"/>
  <c r="D539" i="13"/>
  <c r="A222" i="12" s="1"/>
  <c r="D543" i="13"/>
  <c r="A226" i="12" s="1"/>
  <c r="D547" i="13"/>
  <c r="A230" i="12" s="1"/>
  <c r="D551" i="13"/>
  <c r="A234" i="12" s="1"/>
  <c r="D555" i="13"/>
  <c r="A238" i="12" s="1"/>
  <c r="D559" i="13"/>
  <c r="A242" i="12" s="1"/>
  <c r="D340" i="13"/>
  <c r="A23" i="12" s="1"/>
  <c r="D348" i="13"/>
  <c r="A31" i="12" s="1"/>
  <c r="D356" i="13"/>
  <c r="A39" i="12" s="1"/>
  <c r="D364" i="13"/>
  <c r="A47" i="12" s="1"/>
  <c r="D372" i="13"/>
  <c r="A55" i="12" s="1"/>
  <c r="D380" i="13"/>
  <c r="A63" i="12" s="1"/>
  <c r="D388" i="13"/>
  <c r="A71" i="12" s="1"/>
  <c r="D396" i="13"/>
  <c r="A79" i="12" s="1"/>
  <c r="D404" i="13"/>
  <c r="A87" i="12" s="1"/>
  <c r="D412" i="13"/>
  <c r="A95" i="12" s="1"/>
  <c r="D420" i="13"/>
  <c r="A103" i="12" s="1"/>
  <c r="D428" i="13"/>
  <c r="A111" i="12" s="1"/>
  <c r="D436" i="13"/>
  <c r="A119" i="12" s="1"/>
  <c r="D444" i="13"/>
  <c r="A127" i="12" s="1"/>
  <c r="D453" i="13"/>
  <c r="A136" i="12" s="1"/>
  <c r="D461" i="13"/>
  <c r="A144" i="12" s="1"/>
  <c r="D469" i="13"/>
  <c r="A152" i="12" s="1"/>
  <c r="D477" i="13"/>
  <c r="A160" i="12" s="1"/>
  <c r="D485" i="13"/>
  <c r="A168" i="12" s="1"/>
  <c r="D493" i="13"/>
  <c r="A176" i="12" s="1"/>
  <c r="D501" i="13"/>
  <c r="A184" i="12" s="1"/>
  <c r="D509" i="13"/>
  <c r="A192" i="12" s="1"/>
  <c r="D517" i="13"/>
  <c r="A200" i="12" s="1"/>
  <c r="D525" i="13"/>
  <c r="A208" i="12" s="1"/>
  <c r="D533" i="13"/>
  <c r="A216" i="12" s="1"/>
  <c r="D541" i="13"/>
  <c r="A224" i="12" s="1"/>
  <c r="D549" i="13"/>
  <c r="A232" i="12" s="1"/>
  <c r="D557" i="13"/>
  <c r="A240" i="12" s="1"/>
  <c r="D323" i="13"/>
  <c r="B46" i="3" s="1"/>
  <c r="D50" i="13"/>
  <c r="D111" i="13"/>
  <c r="C12" i="4" s="1"/>
  <c r="D300" i="13"/>
  <c r="C9" i="3" s="1"/>
  <c r="D21" i="13"/>
  <c r="D19" i="1" s="1"/>
  <c r="D280" i="13"/>
  <c r="B16" i="11" s="1"/>
  <c r="D208" i="13"/>
  <c r="A4" i="10" s="1"/>
  <c r="D103" i="13"/>
  <c r="D14" i="13"/>
  <c r="D12" i="1" s="1"/>
  <c r="D13" i="13"/>
  <c r="D11" i="1" s="1"/>
  <c r="D312" i="13"/>
  <c r="B28" i="3" s="1"/>
  <c r="D216" i="13"/>
  <c r="C7" i="6" s="1"/>
  <c r="D132" i="13"/>
  <c r="C33" i="4" s="1"/>
  <c r="D97" i="13"/>
  <c r="D102" i="4" s="1"/>
  <c r="D76" i="13"/>
  <c r="B18" i="2" s="1"/>
  <c r="D19" i="13"/>
  <c r="D18" i="1" s="1"/>
  <c r="D319" i="13"/>
  <c r="B39" i="3" s="1"/>
  <c r="D255" i="13"/>
  <c r="C15" i="10" s="1"/>
  <c r="D168" i="13"/>
  <c r="C69" i="4" s="1"/>
  <c r="D96" i="13"/>
  <c r="D8" i="4" s="1"/>
  <c r="D41" i="13"/>
  <c r="B28" i="1" s="1"/>
  <c r="D93" i="13"/>
  <c r="B8" i="4" s="1"/>
  <c r="D139" i="13"/>
  <c r="C40" i="4" s="1"/>
  <c r="D336" i="13"/>
  <c r="D199" i="13"/>
  <c r="D155" i="13"/>
  <c r="C56" i="4" s="1"/>
  <c r="D70" i="13"/>
  <c r="D25" i="13"/>
  <c r="D23" i="1" s="1"/>
  <c r="D329" i="13"/>
  <c r="D130" i="13"/>
  <c r="D246" i="13"/>
  <c r="C6" i="10" s="1"/>
  <c r="D165" i="13"/>
  <c r="C66" i="4" s="1"/>
  <c r="D82" i="13"/>
  <c r="D48" i="13"/>
  <c r="D4" i="13"/>
  <c r="B2" i="1" s="1"/>
  <c r="D297" i="13"/>
  <c r="B7" i="3" s="1"/>
  <c r="D125" i="13"/>
  <c r="C26" i="4" s="1"/>
  <c r="D256" i="13"/>
  <c r="C16" i="10" s="1"/>
  <c r="D172" i="13"/>
  <c r="C73" i="4" s="1"/>
  <c r="D100" i="13"/>
  <c r="D105" i="4" s="1"/>
  <c r="D44" i="13"/>
  <c r="D6" i="13"/>
  <c r="B3" i="1" s="1"/>
  <c r="D217" i="13"/>
  <c r="G7" i="6" s="1"/>
  <c r="D307" i="13"/>
  <c r="B21" i="3" s="1"/>
  <c r="D241" i="13"/>
  <c r="B3" i="7" s="1"/>
  <c r="D225" i="13"/>
  <c r="D181" i="13"/>
  <c r="C82" i="4" s="1"/>
  <c r="D134" i="13"/>
  <c r="D28" i="13"/>
  <c r="B10" i="1" s="1"/>
  <c r="D104" i="13"/>
  <c r="H8" i="4" s="1"/>
  <c r="D156" i="13"/>
  <c r="C57" i="4" s="1"/>
  <c r="D318" i="13"/>
  <c r="B38" i="3" s="1"/>
  <c r="D160" i="13"/>
  <c r="C61" i="4" s="1"/>
  <c r="D332" i="13"/>
  <c r="D299" i="13"/>
  <c r="B9" i="3" s="1"/>
  <c r="D275" i="13"/>
  <c r="B11" i="11" s="1"/>
  <c r="D249" i="13"/>
  <c r="C9" i="10" s="1"/>
  <c r="D228" i="13"/>
  <c r="B38" i="9" s="1"/>
  <c r="D176" i="13"/>
  <c r="D18" i="13"/>
  <c r="D16" i="1" s="1"/>
  <c r="D54" i="13"/>
  <c r="B34" i="1" s="1"/>
  <c r="D254" i="13"/>
  <c r="C14" i="10" s="1"/>
  <c r="D135" i="13"/>
  <c r="C36" i="4" s="1"/>
  <c r="D328" i="13"/>
  <c r="D293" i="13"/>
  <c r="B29" i="11" s="1"/>
  <c r="D235" i="13"/>
  <c r="D220" i="13"/>
  <c r="D131" i="13"/>
  <c r="C32" i="4" s="1"/>
  <c r="D45" i="13"/>
  <c r="D17" i="1" s="1"/>
  <c r="D39" i="13"/>
  <c r="D187" i="13"/>
  <c r="C88" i="4" s="1"/>
  <c r="D183" i="13"/>
  <c r="C84" i="4" s="1"/>
  <c r="D234" i="13"/>
  <c r="D177" i="13"/>
  <c r="C78" i="4" s="1"/>
  <c r="D178" i="13"/>
  <c r="C79" i="4" s="1"/>
  <c r="D238" i="13"/>
  <c r="D209" i="13"/>
  <c r="D337" i="13"/>
  <c r="D67" i="13"/>
  <c r="B9" i="2" s="1"/>
  <c r="D145" i="13"/>
  <c r="C46" i="4" s="1"/>
  <c r="D327" i="13"/>
  <c r="D272" i="13"/>
  <c r="B8" i="11" s="1"/>
  <c r="D193" i="13"/>
  <c r="D75" i="13"/>
  <c r="B16" i="2" s="1"/>
  <c r="D287" i="13"/>
  <c r="B23" i="11" s="1"/>
  <c r="D128" i="13"/>
  <c r="C29" i="4" s="1"/>
  <c r="D206" i="13"/>
  <c r="B7" i="6" s="1"/>
  <c r="D64" i="13"/>
  <c r="B6" i="2" s="1"/>
  <c r="D245" i="13"/>
  <c r="C5" i="10" s="1"/>
  <c r="D89" i="13"/>
  <c r="D24" i="13"/>
  <c r="D22" i="1" s="1"/>
  <c r="D109" i="13"/>
  <c r="B109" i="13" s="1"/>
  <c r="C8" i="6" s="1"/>
  <c r="D188" i="13"/>
  <c r="C89" i="4" s="1"/>
  <c r="D57" i="13"/>
  <c r="B37" i="1" s="1"/>
  <c r="D153" i="13"/>
  <c r="D194" i="13"/>
  <c r="B3" i="3" s="1"/>
  <c r="D124" i="13"/>
  <c r="C25" i="4" s="1"/>
  <c r="D27" i="13"/>
  <c r="D25" i="1" s="1"/>
  <c r="D77" i="13"/>
  <c r="D51" i="13"/>
  <c r="D151" i="13"/>
  <c r="C52" i="4" s="1"/>
  <c r="D72" i="13"/>
  <c r="D1" i="13"/>
  <c r="D333" i="13"/>
  <c r="D341" i="13"/>
  <c r="A24" i="12" s="1"/>
  <c r="D349" i="13"/>
  <c r="A32" i="12" s="1"/>
  <c r="D357" i="13"/>
  <c r="A40" i="12" s="1"/>
  <c r="D365" i="13"/>
  <c r="A48" i="12" s="1"/>
  <c r="D373" i="13"/>
  <c r="A56" i="12" s="1"/>
  <c r="D381" i="13"/>
  <c r="A64" i="12" s="1"/>
  <c r="D389" i="13"/>
  <c r="A72" i="12" s="1"/>
  <c r="D397" i="13"/>
  <c r="A80" i="12" s="1"/>
  <c r="D405" i="13"/>
  <c r="A88" i="12" s="1"/>
  <c r="D413" i="13"/>
  <c r="A96" i="12" s="1"/>
  <c r="D421" i="13"/>
  <c r="A104" i="12" s="1"/>
  <c r="D429" i="13"/>
  <c r="A112" i="12" s="1"/>
  <c r="D437" i="13"/>
  <c r="A120" i="12" s="1"/>
  <c r="D445" i="13"/>
  <c r="A128" i="12" s="1"/>
  <c r="D456" i="13"/>
  <c r="A139" i="12" s="1"/>
  <c r="D464" i="13"/>
  <c r="A147" i="12" s="1"/>
  <c r="D472" i="13"/>
  <c r="A155" i="12" s="1"/>
  <c r="D480" i="13"/>
  <c r="A163" i="12" s="1"/>
  <c r="D488" i="13"/>
  <c r="A171" i="12" s="1"/>
  <c r="D496" i="13"/>
  <c r="A179" i="12" s="1"/>
  <c r="D504" i="13"/>
  <c r="A187" i="12" s="1"/>
  <c r="D512" i="13"/>
  <c r="A195" i="12" s="1"/>
  <c r="D520" i="13"/>
  <c r="A203" i="12" s="1"/>
  <c r="D528" i="13"/>
  <c r="A211" i="12" s="1"/>
  <c r="D536" i="13"/>
  <c r="A219" i="12" s="1"/>
  <c r="D544" i="13"/>
  <c r="A227" i="12" s="1"/>
  <c r="D552" i="13"/>
  <c r="A235" i="12" s="1"/>
  <c r="D560" i="13"/>
  <c r="A243" i="12" s="1"/>
  <c r="D138" i="13"/>
  <c r="C39" i="4" s="1"/>
  <c r="D248" i="13"/>
  <c r="C8" i="10" s="1"/>
  <c r="D321" i="13"/>
  <c r="C40" i="3" s="1"/>
  <c r="D83" i="13"/>
  <c r="B12" i="2" s="1"/>
  <c r="D147" i="13"/>
  <c r="C48" i="4" s="1"/>
  <c r="D211" i="13"/>
  <c r="D81" i="13"/>
  <c r="D303" i="13"/>
  <c r="B15" i="3" s="1"/>
  <c r="D161" i="13"/>
  <c r="C62" i="4" s="1"/>
  <c r="D281" i="13"/>
  <c r="B17" i="11" s="1"/>
  <c r="D314" i="13"/>
  <c r="D29" i="3" s="1"/>
  <c r="D117" i="13"/>
  <c r="C18" i="4" s="1"/>
  <c r="D15" i="13"/>
  <c r="D13" i="1" s="1"/>
  <c r="D331" i="13"/>
  <c r="D69" i="13"/>
  <c r="D263" i="13"/>
  <c r="C23" i="10" s="1"/>
  <c r="D218" i="13"/>
  <c r="K7" i="6" s="1"/>
  <c r="D34" i="13"/>
  <c r="B22" i="1" s="1"/>
  <c r="D292" i="13"/>
  <c r="B28" i="11" s="1"/>
  <c r="D344" i="13"/>
  <c r="A27" i="12" s="1"/>
  <c r="D360" i="13"/>
  <c r="A43" i="12" s="1"/>
  <c r="D376" i="13"/>
  <c r="A59" i="12" s="1"/>
  <c r="D392" i="13"/>
  <c r="A75" i="12" s="1"/>
  <c r="D408" i="13"/>
  <c r="A91" i="12" s="1"/>
  <c r="D424" i="13"/>
  <c r="A107" i="12" s="1"/>
  <c r="D440" i="13"/>
  <c r="A123" i="12" s="1"/>
  <c r="D460" i="13"/>
  <c r="A143" i="12" s="1"/>
  <c r="D476" i="13"/>
  <c r="A159" i="12" s="1"/>
  <c r="D492" i="13"/>
  <c r="A175" i="12" s="1"/>
  <c r="D508" i="13"/>
  <c r="A191" i="12" s="1"/>
  <c r="D524" i="13"/>
  <c r="A207" i="12" s="1"/>
  <c r="D540" i="13"/>
  <c r="A223" i="12" s="1"/>
  <c r="D556" i="13"/>
  <c r="A239" i="12" s="1"/>
  <c r="D345" i="13"/>
  <c r="A28" i="12" s="1"/>
  <c r="D361" i="13"/>
  <c r="A44" i="12" s="1"/>
  <c r="D377" i="13"/>
  <c r="A60" i="12" s="1"/>
  <c r="D393" i="13"/>
  <c r="A76" i="12" s="1"/>
  <c r="D409" i="13"/>
  <c r="A92" i="12" s="1"/>
  <c r="D425" i="13"/>
  <c r="A108" i="12" s="1"/>
  <c r="D441" i="13"/>
  <c r="A124" i="12" s="1"/>
  <c r="D465" i="13"/>
  <c r="A148" i="12" s="1"/>
  <c r="D481" i="13"/>
  <c r="A164" i="12" s="1"/>
  <c r="D497" i="13"/>
  <c r="A180" i="12" s="1"/>
  <c r="D513" i="13"/>
  <c r="A196" i="12" s="1"/>
  <c r="D529" i="13"/>
  <c r="A212" i="12" s="1"/>
  <c r="D545" i="13"/>
  <c r="A228" i="12" s="1"/>
  <c r="D192" i="13"/>
  <c r="C93" i="4" s="1"/>
  <c r="D175" i="13"/>
  <c r="D140" i="13"/>
  <c r="C41" i="4" s="1"/>
  <c r="D214" i="13"/>
  <c r="D47" i="13"/>
  <c r="D320" i="13"/>
  <c r="B40" i="3" s="1"/>
  <c r="D152" i="13"/>
  <c r="C53" i="4" s="1"/>
  <c r="D42" i="13"/>
  <c r="B30" i="1" s="1"/>
  <c r="D335" i="13"/>
  <c r="D207" i="13"/>
  <c r="A5" i="10" s="1"/>
  <c r="D55" i="13"/>
  <c r="B35" i="1" s="1"/>
  <c r="D198" i="13"/>
  <c r="D247" i="13"/>
  <c r="D86" i="13"/>
  <c r="D74" i="13"/>
  <c r="D265" i="13"/>
  <c r="C25" i="10" s="1"/>
  <c r="D101" i="13"/>
  <c r="D106" i="4" s="1"/>
  <c r="D7" i="13"/>
  <c r="B5" i="1" s="1"/>
  <c r="D158" i="13"/>
  <c r="B21" i="8" s="1"/>
  <c r="D179" i="13"/>
  <c r="C80" i="4" s="1"/>
  <c r="D60" i="13"/>
  <c r="B41" i="1" s="1"/>
  <c r="D146" i="13"/>
  <c r="C47" i="4" s="1"/>
  <c r="D250" i="13"/>
  <c r="C10" i="10" s="1"/>
  <c r="D221" i="13"/>
  <c r="D148" i="13"/>
  <c r="B148" i="13" s="1"/>
  <c r="K12" i="6" s="1"/>
  <c r="D61" i="13"/>
  <c r="B42" i="1" s="1"/>
  <c r="D114" i="13"/>
  <c r="C15" i="4" s="1"/>
  <c r="D164" i="13"/>
  <c r="C65" i="4" s="1"/>
  <c r="D298" i="13"/>
  <c r="B8" i="3" s="1"/>
  <c r="D325" i="13"/>
  <c r="D284" i="13"/>
  <c r="B20" i="11" s="1"/>
  <c r="D257" i="13"/>
  <c r="C17" i="10" s="1"/>
  <c r="D224" i="13"/>
  <c r="D87" i="13"/>
  <c r="D261" i="13"/>
  <c r="C21" i="10" s="1"/>
  <c r="D92" i="13"/>
  <c r="D43" i="13"/>
  <c r="B32" i="1" s="1"/>
  <c r="D301" i="13"/>
  <c r="D9" i="3" s="1"/>
  <c r="D231" i="13"/>
  <c r="D167" i="13"/>
  <c r="D73" i="13"/>
  <c r="B14" i="2" s="1"/>
  <c r="D105" i="13"/>
  <c r="I8" i="4" s="1"/>
  <c r="D173" i="13"/>
  <c r="C74" i="4" s="1"/>
  <c r="D219" i="13"/>
  <c r="O7" i="6" s="1"/>
  <c r="D40" i="13"/>
  <c r="B27" i="1" s="1"/>
  <c r="D36" i="13"/>
  <c r="B24" i="1" s="1"/>
  <c r="D33" i="13"/>
  <c r="B21" i="1" s="1"/>
  <c r="B143" i="13"/>
  <c r="G12" i="6" s="1"/>
  <c r="N91" i="4"/>
  <c r="N22" i="4"/>
  <c r="N70" i="4"/>
  <c r="N56" i="4"/>
  <c r="N45" i="4"/>
  <c r="N41" i="4"/>
  <c r="N57" i="4"/>
  <c r="N39" i="4"/>
  <c r="N14" i="4"/>
  <c r="N79" i="4"/>
  <c r="N65" i="4"/>
  <c r="N88" i="4"/>
  <c r="N78" i="4"/>
  <c r="N62" i="4"/>
  <c r="B108" i="13"/>
  <c r="B6" i="3" s="1"/>
  <c r="B8" i="6"/>
  <c r="F85" i="4"/>
  <c r="N35" i="4"/>
  <c r="N46" i="4"/>
  <c r="N40" i="4"/>
  <c r="N10" i="4"/>
  <c r="F16" i="4"/>
  <c r="N55" i="4"/>
  <c r="N51" i="4"/>
  <c r="N21" i="4"/>
  <c r="N47" i="4"/>
  <c r="N60" i="4"/>
  <c r="N61" i="4"/>
  <c r="N52" i="4"/>
  <c r="N50" i="4"/>
  <c r="N27" i="4"/>
  <c r="N25" i="4"/>
  <c r="N26" i="4"/>
  <c r="C14" i="3"/>
  <c r="G17" i="5" s="1"/>
  <c r="K7" i="12" s="1"/>
  <c r="C12" i="3"/>
  <c r="G15" i="5" s="1"/>
  <c r="K5" i="12" s="1"/>
  <c r="F80" i="4"/>
  <c r="N87" i="4"/>
  <c r="N42" i="4"/>
  <c r="C11" i="3"/>
  <c r="G14" i="5" s="1"/>
  <c r="K4" i="12" s="1"/>
  <c r="N66" i="4"/>
  <c r="C23" i="4" l="1"/>
  <c r="M44" i="4"/>
  <c r="N44" i="4" s="1"/>
  <c r="N28" i="5"/>
  <c r="M64" i="4"/>
  <c r="N64" i="4" s="1"/>
  <c r="N35" i="5"/>
  <c r="N65" i="5" s="1"/>
  <c r="M77" i="4"/>
  <c r="N77" i="4" s="1"/>
  <c r="M41" i="5"/>
  <c r="M66" i="5" s="1"/>
  <c r="M13" i="4"/>
  <c r="N13" i="4" s="1"/>
  <c r="N14" i="5"/>
  <c r="P35" i="5"/>
  <c r="P65" i="5" s="1"/>
  <c r="M72" i="4"/>
  <c r="N72" i="4" s="1"/>
  <c r="F79" i="4"/>
  <c r="F87" i="4"/>
  <c r="B2" i="9"/>
  <c r="D81" i="4"/>
  <c r="F81" i="4"/>
  <c r="O81" i="4"/>
  <c r="L81" i="4" s="1"/>
  <c r="O28" i="4"/>
  <c r="L28" i="4" s="1"/>
  <c r="D28" i="4"/>
  <c r="F28" i="4"/>
  <c r="C49" i="4"/>
  <c r="B244" i="13"/>
  <c r="C10" i="4"/>
  <c r="B19" i="7"/>
  <c r="B122" i="13"/>
  <c r="B17" i="3" s="1"/>
  <c r="F53" i="4"/>
  <c r="F67" i="4"/>
  <c r="B18" i="7"/>
  <c r="B171" i="13"/>
  <c r="O14" i="6" s="1"/>
  <c r="B19" i="8"/>
  <c r="F63" i="4"/>
  <c r="F89" i="4"/>
  <c r="F19" i="4"/>
  <c r="F84" i="4"/>
  <c r="C17" i="4"/>
  <c r="B42" i="3"/>
  <c r="F36" i="5" s="1"/>
  <c r="H36" i="5" s="1"/>
  <c r="A35" i="11" s="1"/>
  <c r="I35" i="11" s="1"/>
  <c r="J35" i="11" s="1"/>
  <c r="E70" i="4"/>
  <c r="B127" i="13"/>
  <c r="G10" i="6" s="1"/>
  <c r="F12" i="4"/>
  <c r="F48" i="4"/>
  <c r="B18" i="8"/>
  <c r="F37" i="4"/>
  <c r="E21" i="4"/>
  <c r="E56" i="4"/>
  <c r="F30" i="4"/>
  <c r="F75" i="4"/>
  <c r="F58" i="4"/>
  <c r="C60" i="4"/>
  <c r="F93" i="4"/>
  <c r="E52" i="4"/>
  <c r="B189" i="13"/>
  <c r="O16" i="6" s="1"/>
  <c r="E82" i="4"/>
  <c r="E28" i="4"/>
  <c r="E15" i="4"/>
  <c r="E45" i="4"/>
  <c r="E79" i="4"/>
  <c r="C10" i="3"/>
  <c r="G13" i="5" s="1"/>
  <c r="K3" i="12" s="1"/>
  <c r="E50" i="4"/>
  <c r="E81" i="4"/>
  <c r="E49" i="4"/>
  <c r="E76" i="4"/>
  <c r="C38" i="4"/>
  <c r="B137" i="13"/>
  <c r="B25" i="3" s="1"/>
  <c r="B12" i="6"/>
  <c r="F43" i="4"/>
  <c r="F34" i="4"/>
  <c r="C13" i="4"/>
  <c r="B112" i="13"/>
  <c r="G8" i="6" s="1"/>
  <c r="B185" i="13"/>
  <c r="K16" i="6" s="1"/>
  <c r="C86" i="4"/>
  <c r="B2" i="3"/>
  <c r="B43" i="3"/>
  <c r="F37" i="5" s="1"/>
  <c r="H37" i="5" s="1"/>
  <c r="A36" i="11" s="1"/>
  <c r="I36" i="11" s="1"/>
  <c r="J36" i="11" s="1"/>
  <c r="E65" i="4"/>
  <c r="E51" i="4"/>
  <c r="E13" i="4"/>
  <c r="B2" i="7"/>
  <c r="E40" i="4"/>
  <c r="E32" i="4"/>
  <c r="E72" i="4"/>
  <c r="E66" i="4"/>
  <c r="E27" i="4"/>
  <c r="E87" i="4"/>
  <c r="E10" i="4"/>
  <c r="E77" i="4"/>
  <c r="E88" i="4"/>
  <c r="E39" i="4"/>
  <c r="E69" i="4"/>
  <c r="E22" i="4"/>
  <c r="E25" i="4"/>
  <c r="E35" i="4"/>
  <c r="E26" i="4"/>
  <c r="E14" i="4"/>
  <c r="E33" i="4"/>
  <c r="E44" i="4"/>
  <c r="E91" i="4"/>
  <c r="B21" i="7"/>
  <c r="E62" i="4"/>
  <c r="E46" i="4"/>
  <c r="E92" i="4"/>
  <c r="E42" i="4"/>
  <c r="E74" i="4"/>
  <c r="E47" i="4"/>
  <c r="E57" i="4"/>
  <c r="E64" i="4"/>
  <c r="E55" i="4"/>
  <c r="E41" i="4"/>
  <c r="E60" i="4"/>
  <c r="E59" i="4"/>
  <c r="E73" i="4"/>
  <c r="E83" i="4"/>
  <c r="E78" i="4"/>
  <c r="C59" i="4"/>
  <c r="B20" i="2"/>
  <c r="B5" i="6"/>
  <c r="E13" i="12"/>
  <c r="F13" i="12" s="1"/>
  <c r="B2" i="2"/>
  <c r="C81" i="4"/>
  <c r="B180" i="13"/>
  <c r="G16" i="6" s="1"/>
  <c r="B5" i="4"/>
  <c r="B134" i="13"/>
  <c r="O10" i="6" s="1"/>
  <c r="C35" i="4"/>
  <c r="B19" i="2"/>
  <c r="B15" i="2"/>
  <c r="F66" i="4"/>
  <c r="F46" i="4"/>
  <c r="F74" i="4"/>
  <c r="F83" i="4"/>
  <c r="F73" i="4"/>
  <c r="F92" i="4"/>
  <c r="F57" i="4"/>
  <c r="F47" i="4"/>
  <c r="F62" i="4"/>
  <c r="F11" i="4"/>
  <c r="F61" i="4"/>
  <c r="F25" i="4"/>
  <c r="F55" i="4"/>
  <c r="F21" i="4"/>
  <c r="F36" i="4"/>
  <c r="F78" i="4"/>
  <c r="F29" i="4"/>
  <c r="F27" i="4"/>
  <c r="F88" i="4"/>
  <c r="F51" i="4"/>
  <c r="F41" i="4"/>
  <c r="F32" i="4"/>
  <c r="F82" i="4"/>
  <c r="F45" i="4"/>
  <c r="F50" i="4"/>
  <c r="F14" i="4"/>
  <c r="F40" i="4"/>
  <c r="F22" i="4"/>
  <c r="F56" i="4"/>
  <c r="F69" i="4"/>
  <c r="F18" i="4"/>
  <c r="F26" i="4"/>
  <c r="F42" i="4"/>
  <c r="F15" i="4"/>
  <c r="F70" i="4"/>
  <c r="F33" i="4"/>
  <c r="F52" i="4"/>
  <c r="A1" i="10"/>
  <c r="B2" i="4"/>
  <c r="B20" i="7"/>
  <c r="C54" i="4"/>
  <c r="B153" i="13"/>
  <c r="O12" i="6" s="1"/>
  <c r="B176" i="13"/>
  <c r="C16" i="6" s="1"/>
  <c r="C77" i="4"/>
  <c r="C64" i="4"/>
  <c r="B163" i="13"/>
  <c r="G14" i="6" s="1"/>
  <c r="B123" i="13"/>
  <c r="C10" i="6" s="1"/>
  <c r="C24" i="4"/>
  <c r="B2" i="8"/>
  <c r="B175" i="13"/>
  <c r="B45" i="3" s="1"/>
  <c r="B16" i="6"/>
  <c r="C76" i="4"/>
  <c r="B22" i="8"/>
  <c r="F91" i="4"/>
  <c r="B158" i="13"/>
  <c r="B36" i="3" s="1"/>
  <c r="B2" i="6"/>
  <c r="F65" i="4"/>
  <c r="B138" i="13"/>
  <c r="C12" i="6" s="1"/>
  <c r="B14" i="6"/>
  <c r="C68" i="4"/>
  <c r="B167" i="13"/>
  <c r="K14" i="6" s="1"/>
  <c r="F4" i="4"/>
  <c r="I4" i="6"/>
  <c r="B95" i="4"/>
  <c r="B17" i="9"/>
  <c r="B17" i="8"/>
  <c r="B17" i="7"/>
  <c r="P11" i="6"/>
  <c r="D38" i="9"/>
  <c r="D30" i="9"/>
  <c r="D35" i="9"/>
  <c r="D32" i="9"/>
  <c r="H11" i="6"/>
  <c r="P9" i="6"/>
  <c r="D15" i="6"/>
  <c r="D34" i="9"/>
  <c r="L15" i="6"/>
  <c r="D29" i="9"/>
  <c r="D20" i="8"/>
  <c r="P17" i="6"/>
  <c r="H15" i="6"/>
  <c r="D22" i="7"/>
  <c r="P15" i="6"/>
  <c r="D11" i="6"/>
  <c r="D19" i="9"/>
  <c r="D33" i="9"/>
  <c r="D23" i="9"/>
  <c r="D19" i="8"/>
  <c r="D21" i="8"/>
  <c r="D28" i="9"/>
  <c r="D19" i="7"/>
  <c r="D13" i="6"/>
  <c r="P13" i="6"/>
  <c r="D20" i="7"/>
  <c r="L11" i="6"/>
  <c r="D24" i="9"/>
  <c r="D18" i="8"/>
  <c r="D17" i="6"/>
  <c r="D27" i="9"/>
  <c r="D20" i="9"/>
  <c r="D21" i="7"/>
  <c r="H17" i="6"/>
  <c r="H13" i="6"/>
  <c r="D23" i="8"/>
  <c r="D22" i="9"/>
  <c r="H9" i="6"/>
  <c r="D36" i="9"/>
  <c r="D37" i="9"/>
  <c r="D26" i="9"/>
  <c r="D31" i="9"/>
  <c r="D9" i="6"/>
  <c r="D18" i="7"/>
  <c r="L13" i="6"/>
  <c r="D25" i="9"/>
  <c r="D21" i="9"/>
  <c r="D22" i="8"/>
  <c r="L9" i="6"/>
  <c r="L17" i="6"/>
  <c r="D18" i="9"/>
  <c r="B23" i="8"/>
  <c r="B22" i="7"/>
  <c r="B130" i="13"/>
  <c r="K10" i="6" s="1"/>
  <c r="C31" i="4"/>
  <c r="B41" i="3"/>
  <c r="F35" i="5" s="1"/>
  <c r="H35" i="5" s="1"/>
  <c r="D13" i="3"/>
  <c r="H16" i="5" s="1"/>
  <c r="D6" i="12" s="1"/>
  <c r="B32" i="3"/>
  <c r="D12" i="3"/>
  <c r="H15" i="5" s="1"/>
  <c r="D5" i="12" s="1"/>
  <c r="B10" i="3"/>
  <c r="F13" i="5" s="1"/>
  <c r="E13" i="5" s="1"/>
  <c r="J3" i="12" s="1"/>
  <c r="D14" i="3"/>
  <c r="H17" i="5" s="1"/>
  <c r="D7" i="12" s="1"/>
  <c r="D15" i="3"/>
  <c r="H18" i="5" s="1"/>
  <c r="D8" i="12" s="1"/>
  <c r="B12" i="3"/>
  <c r="F15" i="5" s="1"/>
  <c r="E15" i="5" s="1"/>
  <c r="J5" i="12" s="1"/>
  <c r="B31" i="3"/>
  <c r="D11" i="3"/>
  <c r="H14" i="5" s="1"/>
  <c r="D4" i="12" s="1"/>
  <c r="D10" i="3"/>
  <c r="H13" i="5" s="1"/>
  <c r="D3" i="12" s="1"/>
  <c r="B14" i="3"/>
  <c r="F17" i="5" s="1"/>
  <c r="E17" i="5" s="1"/>
  <c r="J7" i="12" s="1"/>
  <c r="B13" i="3"/>
  <c r="F16" i="5" s="1"/>
  <c r="E16" i="5" s="1"/>
  <c r="J6" i="12" s="1"/>
  <c r="B11" i="3"/>
  <c r="F14" i="5" s="1"/>
  <c r="E14" i="5" s="1"/>
  <c r="J4" i="12" s="1"/>
  <c r="D10" i="12"/>
  <c r="H27" i="5"/>
  <c r="M28" i="4" l="1"/>
  <c r="N28" i="4" s="1"/>
  <c r="N22" i="5"/>
  <c r="N41" i="5"/>
  <c r="N66" i="5" s="1"/>
  <c r="M81" i="4"/>
  <c r="N81" i="4" s="1"/>
  <c r="K35" i="11"/>
  <c r="L35" i="11" s="1"/>
  <c r="K36" i="11"/>
  <c r="L36" i="11" s="1"/>
  <c r="I4" i="12"/>
  <c r="E4" i="12"/>
  <c r="F4" i="12" s="1"/>
  <c r="L6" i="12"/>
  <c r="M6" i="12" s="1"/>
  <c r="O6" i="12"/>
  <c r="P6" i="12" s="1"/>
  <c r="D11" i="12"/>
  <c r="H28" i="5"/>
  <c r="L4" i="12"/>
  <c r="M4" i="12" s="1"/>
  <c r="O4" i="12"/>
  <c r="P4" i="12" s="1"/>
  <c r="I7" i="12"/>
  <c r="E7" i="12"/>
  <c r="F7" i="12" s="1"/>
  <c r="A34" i="11"/>
  <c r="O24" i="5"/>
  <c r="P43" i="5"/>
  <c r="M24" i="5"/>
  <c r="L7" i="12"/>
  <c r="M7" i="12" s="1"/>
  <c r="O7" i="12"/>
  <c r="P7" i="12" s="1"/>
  <c r="O5" i="12"/>
  <c r="P5" i="12" s="1"/>
  <c r="L5" i="12"/>
  <c r="M5" i="12" s="1"/>
  <c r="E5" i="12"/>
  <c r="F5" i="12" s="1"/>
  <c r="I5" i="12"/>
  <c r="E6" i="12"/>
  <c r="F6" i="12" s="1"/>
  <c r="I6" i="12"/>
  <c r="L3" i="12"/>
  <c r="M3" i="12" s="1"/>
  <c r="O3" i="12"/>
  <c r="P3" i="12" s="1"/>
  <c r="E3" i="12"/>
  <c r="F3" i="12" s="1"/>
  <c r="I3" i="12"/>
  <c r="I8" i="12"/>
  <c r="E8" i="12"/>
  <c r="F8" i="12" s="1"/>
  <c r="D12" i="12"/>
  <c r="H29" i="5"/>
  <c r="I10" i="12"/>
  <c r="E10" i="12"/>
  <c r="F10" i="12" s="1"/>
  <c r="I34" i="11" l="1"/>
  <c r="J34" i="11" s="1"/>
  <c r="J38" i="11" s="1"/>
  <c r="J39" i="11" s="1"/>
  <c r="S37" i="5" s="1"/>
  <c r="K34" i="11"/>
  <c r="L34" i="11" s="1"/>
  <c r="L38" i="11" s="1"/>
  <c r="L39" i="11" s="1"/>
  <c r="S43" i="5" s="1"/>
  <c r="F24" i="4"/>
  <c r="D24" i="4"/>
  <c r="O24" i="4"/>
  <c r="L24" i="4" s="1"/>
  <c r="O31" i="4"/>
  <c r="L31" i="4" s="1"/>
  <c r="D31" i="4"/>
  <c r="F31" i="4"/>
  <c r="E12" i="12"/>
  <c r="F12" i="12" s="1"/>
  <c r="I12" i="12"/>
  <c r="G3" i="12"/>
  <c r="H6" i="12" s="1"/>
  <c r="D90" i="4"/>
  <c r="O90" i="4"/>
  <c r="L90" i="4" s="1"/>
  <c r="I11" i="12"/>
  <c r="E11" i="12"/>
  <c r="F11" i="12" s="1"/>
  <c r="G10" i="12" l="1"/>
  <c r="I50" i="5" s="1"/>
  <c r="J50" i="5" s="1"/>
  <c r="K50" i="5" s="1"/>
  <c r="K19" i="5" s="1"/>
  <c r="I14" i="12"/>
  <c r="P30" i="5" s="1"/>
  <c r="O54" i="4" s="1"/>
  <c r="L54" i="4" s="1"/>
  <c r="H8" i="12"/>
  <c r="I51" i="5"/>
  <c r="J51" i="5" s="1"/>
  <c r="K51" i="5" s="1"/>
  <c r="I49" i="5"/>
  <c r="J49" i="5" s="1"/>
  <c r="K49" i="5" s="1"/>
  <c r="K10" i="5" s="1"/>
  <c r="M90" i="4"/>
  <c r="N90" i="4" s="1"/>
  <c r="E90" i="4"/>
  <c r="P41" i="5"/>
  <c r="P66" i="5" s="1"/>
  <c r="O37" i="5"/>
  <c r="O43" i="5"/>
  <c r="Q6" i="12"/>
  <c r="N6" i="12"/>
  <c r="H3" i="12"/>
  <c r="H4" i="12"/>
  <c r="H5" i="12"/>
  <c r="H7" i="12"/>
  <c r="M24" i="4"/>
  <c r="N24" i="4" s="1"/>
  <c r="E24" i="4"/>
  <c r="M22" i="5"/>
  <c r="M31" i="4"/>
  <c r="N31" i="4" s="1"/>
  <c r="E31" i="4"/>
  <c r="O22" i="5"/>
  <c r="L23" i="4" l="1"/>
  <c r="D23" i="4" s="1"/>
  <c r="L9" i="4"/>
  <c r="D9" i="4" s="1"/>
  <c r="N9" i="4" s="1"/>
  <c r="D54" i="4"/>
  <c r="M54" i="4" s="1"/>
  <c r="N54" i="4" s="1"/>
  <c r="F54" i="4"/>
  <c r="D86" i="4"/>
  <c r="O86" i="4"/>
  <c r="L86" i="4" s="1"/>
  <c r="N3" i="12"/>
  <c r="N8" i="12" s="1"/>
  <c r="O16" i="5" s="1"/>
  <c r="I9" i="12"/>
  <c r="P16" i="5" s="1"/>
  <c r="H10" i="12"/>
  <c r="Q3" i="12"/>
  <c r="Q8" i="12" s="1"/>
  <c r="D68" i="4"/>
  <c r="O68" i="4"/>
  <c r="L68" i="4" s="1"/>
  <c r="F68" i="4"/>
  <c r="N5" i="12"/>
  <c r="Q5" i="12"/>
  <c r="L38" i="4"/>
  <c r="D38" i="4" s="1"/>
  <c r="K25" i="5"/>
  <c r="N4" i="12"/>
  <c r="Q4" i="12"/>
  <c r="Q7" i="12"/>
  <c r="N7" i="12"/>
  <c r="E23" i="4"/>
  <c r="R50" i="5"/>
  <c r="K63" i="5" s="1"/>
  <c r="N23" i="4"/>
  <c r="R49" i="5" l="1"/>
  <c r="K62" i="5" s="1"/>
  <c r="E9" i="4"/>
  <c r="P28" i="5"/>
  <c r="E54" i="4"/>
  <c r="E68" i="4"/>
  <c r="M68" i="4"/>
  <c r="N68" i="4" s="1"/>
  <c r="O35" i="5"/>
  <c r="O65" i="5" s="1"/>
  <c r="Q65" i="5" s="1"/>
  <c r="D17" i="4"/>
  <c r="F17" i="4"/>
  <c r="O17" i="4"/>
  <c r="L17" i="4" s="1"/>
  <c r="O41" i="5"/>
  <c r="O66" i="5" s="1"/>
  <c r="Q66" i="5" s="1"/>
  <c r="M86" i="4"/>
  <c r="N86" i="4" s="1"/>
  <c r="E86" i="4"/>
  <c r="R51" i="5"/>
  <c r="K64" i="5" s="1"/>
  <c r="N38" i="4"/>
  <c r="E38" i="4"/>
  <c r="O20" i="4"/>
  <c r="L20" i="4" s="1"/>
  <c r="F20" i="4"/>
  <c r="D20" i="4"/>
  <c r="N62" i="5"/>
  <c r="M62" i="5"/>
  <c r="M63" i="5"/>
  <c r="P63" i="5"/>
  <c r="O63" i="5"/>
  <c r="N63" i="5"/>
  <c r="E17" i="4" l="1"/>
  <c r="O14" i="5"/>
  <c r="O62" i="5" s="1"/>
  <c r="M17" i="4"/>
  <c r="N17" i="4" s="1"/>
  <c r="E20" i="4"/>
  <c r="P14" i="5"/>
  <c r="P62" i="5" s="1"/>
  <c r="M20" i="4"/>
  <c r="N20" i="4" s="1"/>
  <c r="O64" i="5"/>
  <c r="M64" i="5"/>
  <c r="N64" i="5"/>
  <c r="N67" i="5" s="1"/>
  <c r="P64" i="5"/>
  <c r="Q63" i="5"/>
  <c r="Q62" i="5" l="1"/>
  <c r="Q64" i="5"/>
  <c r="P67" i="5"/>
  <c r="M67" i="5"/>
  <c r="O67" i="5"/>
  <c r="Q67" i="5" l="1"/>
  <c r="O53" i="5" s="1"/>
  <c r="O42" i="5" s="1"/>
  <c r="J86" i="4" s="1"/>
  <c r="J88" i="4" s="1"/>
  <c r="I88" i="4" s="1"/>
  <c r="M17" i="6"/>
  <c r="E36" i="9" s="1"/>
  <c r="I89" i="4"/>
  <c r="M52" i="5"/>
  <c r="M36" i="5" s="1"/>
  <c r="J60" i="4" s="1"/>
  <c r="M53" i="5"/>
  <c r="O51" i="5"/>
  <c r="O29" i="5" s="1"/>
  <c r="J49" i="4" s="1"/>
  <c r="N50" i="5"/>
  <c r="N23" i="5" s="1"/>
  <c r="J28" i="4" s="1"/>
  <c r="N51" i="5"/>
  <c r="N29" i="5" s="1"/>
  <c r="J44" i="4" s="1"/>
  <c r="M50" i="5"/>
  <c r="N53" i="5"/>
  <c r="N42" i="5" s="1"/>
  <c r="J81" i="4" s="1"/>
  <c r="O50" i="5"/>
  <c r="O23" i="5" s="1"/>
  <c r="J31" i="4" s="1"/>
  <c r="O49" i="5"/>
  <c r="O15" i="5" s="1"/>
  <c r="J17" i="4" s="1"/>
  <c r="M49" i="5"/>
  <c r="P52" i="5"/>
  <c r="P36" i="5" s="1"/>
  <c r="J72" i="4" s="1"/>
  <c r="J87" i="4"/>
  <c r="I87" i="4" s="1"/>
  <c r="P53" i="5" l="1"/>
  <c r="P42" i="5" s="1"/>
  <c r="J90" i="4" s="1"/>
  <c r="J92" i="4" s="1"/>
  <c r="I92" i="4" s="1"/>
  <c r="N49" i="5"/>
  <c r="N15" i="5" s="1"/>
  <c r="J13" i="4" s="1"/>
  <c r="J15" i="4" s="1"/>
  <c r="I15" i="4" s="1"/>
  <c r="P49" i="5"/>
  <c r="P50" i="5"/>
  <c r="P23" i="5" s="1"/>
  <c r="J35" i="4" s="1"/>
  <c r="Q11" i="6" s="1"/>
  <c r="E25" i="9" s="1"/>
  <c r="J89" i="4"/>
  <c r="P51" i="5"/>
  <c r="P29" i="5" s="1"/>
  <c r="J54" i="4" s="1"/>
  <c r="J56" i="4" s="1"/>
  <c r="I56" i="4" s="1"/>
  <c r="M51" i="5"/>
  <c r="N52" i="5"/>
  <c r="N36" i="5" s="1"/>
  <c r="J64" i="4" s="1"/>
  <c r="O52" i="5"/>
  <c r="O36" i="5" s="1"/>
  <c r="J68" i="4" s="1"/>
  <c r="J69" i="4" s="1"/>
  <c r="I69" i="4" s="1"/>
  <c r="O9" i="5"/>
  <c r="H86" i="4"/>
  <c r="N17" i="6" s="1"/>
  <c r="Q13" i="6"/>
  <c r="E29" i="9" s="1"/>
  <c r="I17" i="6"/>
  <c r="E35" i="9" s="1"/>
  <c r="J85" i="4"/>
  <c r="J84" i="4"/>
  <c r="J82" i="4"/>
  <c r="I82" i="4" s="1"/>
  <c r="J83" i="4"/>
  <c r="I83" i="4" s="1"/>
  <c r="I84" i="4"/>
  <c r="I85" i="4"/>
  <c r="I53" i="4"/>
  <c r="J53" i="4"/>
  <c r="J50" i="4"/>
  <c r="I50" i="4" s="1"/>
  <c r="J51" i="4"/>
  <c r="I51" i="4" s="1"/>
  <c r="M13" i="6"/>
  <c r="E28" i="9" s="1"/>
  <c r="J52" i="4"/>
  <c r="I52" i="4" s="1"/>
  <c r="P54" i="5"/>
  <c r="P15" i="5"/>
  <c r="I11" i="6"/>
  <c r="E23" i="9" s="1"/>
  <c r="J29" i="4"/>
  <c r="I29" i="4" s="1"/>
  <c r="I30" i="4"/>
  <c r="J30" i="4"/>
  <c r="M42" i="5"/>
  <c r="Q53" i="5"/>
  <c r="J32" i="4"/>
  <c r="I32" i="4" s="1"/>
  <c r="J34" i="4"/>
  <c r="J33" i="4"/>
  <c r="I33" i="4" s="1"/>
  <c r="I34" i="4"/>
  <c r="M11" i="6"/>
  <c r="E24" i="9" s="1"/>
  <c r="M29" i="5"/>
  <c r="M15" i="5"/>
  <c r="M54" i="5"/>
  <c r="J47" i="4"/>
  <c r="I47" i="4" s="1"/>
  <c r="I13" i="6"/>
  <c r="E27" i="9" s="1"/>
  <c r="J45" i="4"/>
  <c r="I45" i="4" s="1"/>
  <c r="I48" i="4"/>
  <c r="J46" i="4"/>
  <c r="I46" i="4" s="1"/>
  <c r="J48" i="4"/>
  <c r="J93" i="4"/>
  <c r="Q17" i="6"/>
  <c r="E37" i="9" s="1"/>
  <c r="J91" i="4"/>
  <c r="I91" i="4" s="1"/>
  <c r="I75" i="4"/>
  <c r="J73" i="4"/>
  <c r="I73" i="4" s="1"/>
  <c r="J75" i="4"/>
  <c r="Q15" i="6"/>
  <c r="E33" i="9" s="1"/>
  <c r="J74" i="4"/>
  <c r="I74" i="4" s="1"/>
  <c r="Q50" i="5"/>
  <c r="M23" i="5"/>
  <c r="J36" i="4"/>
  <c r="I36" i="4" s="1"/>
  <c r="I37" i="4"/>
  <c r="J37" i="4"/>
  <c r="J19" i="4"/>
  <c r="M9" i="6"/>
  <c r="J18" i="4"/>
  <c r="I18" i="4" s="1"/>
  <c r="I19" i="4"/>
  <c r="E15" i="6"/>
  <c r="E30" i="9" s="1"/>
  <c r="I63" i="4"/>
  <c r="J61" i="4"/>
  <c r="I61" i="4" s="1"/>
  <c r="J63" i="4"/>
  <c r="J62" i="4"/>
  <c r="I62" i="4" s="1"/>
  <c r="I9" i="6" l="1"/>
  <c r="E19" i="9" s="1"/>
  <c r="I16" i="4"/>
  <c r="J14" i="4"/>
  <c r="I14" i="4" s="1"/>
  <c r="H13" i="4" s="1"/>
  <c r="J9" i="6" s="1"/>
  <c r="J55" i="4"/>
  <c r="I55" i="4" s="1"/>
  <c r="J59" i="4"/>
  <c r="E21" i="8" s="1"/>
  <c r="J16" i="4"/>
  <c r="I93" i="4"/>
  <c r="Q51" i="5"/>
  <c r="J57" i="4"/>
  <c r="I57" i="4" s="1"/>
  <c r="N9" i="5"/>
  <c r="Q49" i="5"/>
  <c r="Q54" i="5" s="1"/>
  <c r="J58" i="4"/>
  <c r="J65" i="4"/>
  <c r="I65" i="4" s="1"/>
  <c r="I67" i="4"/>
  <c r="J66" i="4"/>
  <c r="I66" i="4" s="1"/>
  <c r="J67" i="4"/>
  <c r="J70" i="4"/>
  <c r="I70" i="4" s="1"/>
  <c r="I71" i="4"/>
  <c r="J71" i="4"/>
  <c r="M15" i="6"/>
  <c r="E32" i="9" s="1"/>
  <c r="I58" i="4"/>
  <c r="N54" i="5"/>
  <c r="L32" i="5"/>
  <c r="O54" i="5"/>
  <c r="Q52" i="5"/>
  <c r="I15" i="6"/>
  <c r="E31" i="9" s="1"/>
  <c r="H72" i="4"/>
  <c r="I72" i="4" s="1"/>
  <c r="O15" i="6" s="1"/>
  <c r="C33" i="9" s="1"/>
  <c r="F33" i="9" s="1"/>
  <c r="G33" i="9" s="1"/>
  <c r="I86" i="4"/>
  <c r="K17" i="6" s="1"/>
  <c r="C36" i="9" s="1"/>
  <c r="F36" i="9" s="1"/>
  <c r="G36" i="9" s="1"/>
  <c r="H31" i="4"/>
  <c r="I31" i="4" s="1"/>
  <c r="K11" i="6" s="1"/>
  <c r="C24" i="9" s="1"/>
  <c r="F24" i="9" s="1"/>
  <c r="G24" i="9" s="1"/>
  <c r="H54" i="4"/>
  <c r="I54" i="4" s="1"/>
  <c r="O13" i="6" s="1"/>
  <c r="C29" i="9" s="1"/>
  <c r="F29" i="9" s="1"/>
  <c r="G29" i="9" s="1"/>
  <c r="H81" i="4"/>
  <c r="J17" i="6" s="1"/>
  <c r="H28" i="4"/>
  <c r="J11" i="6" s="1"/>
  <c r="L10" i="5"/>
  <c r="M9" i="5"/>
  <c r="J10" i="4"/>
  <c r="H35" i="4"/>
  <c r="H90" i="4"/>
  <c r="L25" i="5"/>
  <c r="J39" i="4"/>
  <c r="P9" i="5"/>
  <c r="J20" i="4"/>
  <c r="H49" i="4"/>
  <c r="L38" i="5"/>
  <c r="J77" i="4"/>
  <c r="J24" i="4"/>
  <c r="L19" i="5"/>
  <c r="H44" i="4"/>
  <c r="H17" i="4"/>
  <c r="N9" i="6" s="1"/>
  <c r="H60" i="4"/>
  <c r="F15" i="6" s="1"/>
  <c r="E20" i="7"/>
  <c r="E20" i="9"/>
  <c r="E19" i="7" l="1"/>
  <c r="R15" i="6"/>
  <c r="H68" i="4"/>
  <c r="I68" i="4" s="1"/>
  <c r="K15" i="6" s="1"/>
  <c r="C32" i="9" s="1"/>
  <c r="F32" i="9" s="1"/>
  <c r="G32" i="9" s="1"/>
  <c r="H64" i="4"/>
  <c r="R13" i="6"/>
  <c r="N11" i="6"/>
  <c r="I28" i="4"/>
  <c r="G11" i="6" s="1"/>
  <c r="C23" i="9" s="1"/>
  <c r="F23" i="9" s="1"/>
  <c r="G23" i="9" s="1"/>
  <c r="I13" i="4"/>
  <c r="G9" i="6" s="1"/>
  <c r="C19" i="9" s="1"/>
  <c r="F19" i="9" s="1"/>
  <c r="G19" i="9" s="1"/>
  <c r="I81" i="4"/>
  <c r="G17" i="6" s="1"/>
  <c r="C35" i="9" s="1"/>
  <c r="F35" i="9" s="1"/>
  <c r="G35" i="9" s="1"/>
  <c r="I17" i="4"/>
  <c r="K9" i="6" s="1"/>
  <c r="J13" i="6"/>
  <c r="I44" i="4"/>
  <c r="G13" i="6" s="1"/>
  <c r="C27" i="9" s="1"/>
  <c r="F27" i="9" s="1"/>
  <c r="G27" i="9" s="1"/>
  <c r="E17" i="6"/>
  <c r="E34" i="9" s="1"/>
  <c r="J76" i="4"/>
  <c r="E22" i="8" s="1"/>
  <c r="J79" i="4"/>
  <c r="I79" i="4" s="1"/>
  <c r="J80" i="4"/>
  <c r="I80" i="4"/>
  <c r="J78" i="4"/>
  <c r="I78" i="4" s="1"/>
  <c r="R17" i="6"/>
  <c r="I90" i="4"/>
  <c r="O17" i="6" s="1"/>
  <c r="C37" i="9" s="1"/>
  <c r="F37" i="9" s="1"/>
  <c r="G37" i="9" s="1"/>
  <c r="J43" i="4"/>
  <c r="J42" i="4"/>
  <c r="I42" i="4" s="1"/>
  <c r="J38" i="4"/>
  <c r="E20" i="8" s="1"/>
  <c r="J41" i="4"/>
  <c r="I41" i="4" s="1"/>
  <c r="J40" i="4"/>
  <c r="I40" i="4" s="1"/>
  <c r="E13" i="6"/>
  <c r="E26" i="9" s="1"/>
  <c r="I43" i="4"/>
  <c r="I35" i="4"/>
  <c r="O11" i="6" s="1"/>
  <c r="C25" i="9" s="1"/>
  <c r="F25" i="9" s="1"/>
  <c r="G25" i="9" s="1"/>
  <c r="R11" i="6"/>
  <c r="J9" i="4"/>
  <c r="I12" i="4"/>
  <c r="J11" i="4"/>
  <c r="I11" i="4" s="1"/>
  <c r="E9" i="6"/>
  <c r="J12" i="4"/>
  <c r="E11" i="6"/>
  <c r="E22" i="9" s="1"/>
  <c r="J23" i="4"/>
  <c r="E19" i="8" s="1"/>
  <c r="J25" i="4"/>
  <c r="I25" i="4" s="1"/>
  <c r="J26" i="4"/>
  <c r="I26" i="4" s="1"/>
  <c r="J27" i="4"/>
  <c r="I27" i="4" s="1"/>
  <c r="N13" i="6"/>
  <c r="I49" i="4"/>
  <c r="K13" i="6" s="1"/>
  <c r="C28" i="9" s="1"/>
  <c r="F28" i="9" s="1"/>
  <c r="G28" i="9" s="1"/>
  <c r="Q9" i="6"/>
  <c r="J22" i="4"/>
  <c r="I22" i="4" s="1"/>
  <c r="J21" i="4"/>
  <c r="I21" i="4" s="1"/>
  <c r="I60" i="4"/>
  <c r="C15" i="6" s="1"/>
  <c r="C30" i="9" s="1"/>
  <c r="F30" i="9" s="1"/>
  <c r="G30" i="9" s="1"/>
  <c r="C20" i="9"/>
  <c r="F20" i="9" s="1"/>
  <c r="G20" i="9" s="1"/>
  <c r="N15" i="6" l="1"/>
  <c r="I64" i="4"/>
  <c r="G15" i="6" s="1"/>
  <c r="C31" i="9" s="1"/>
  <c r="F31" i="9" s="1"/>
  <c r="G31" i="9" s="1"/>
  <c r="J15" i="6"/>
  <c r="C19" i="7"/>
  <c r="F19" i="7" s="1"/>
  <c r="G19" i="7" s="1"/>
  <c r="H77" i="4"/>
  <c r="F17" i="6" s="1"/>
  <c r="I59" i="4"/>
  <c r="C21" i="8" s="1"/>
  <c r="F21" i="8" s="1"/>
  <c r="G21" i="8" s="1"/>
  <c r="H20" i="4"/>
  <c r="I20" i="4" s="1"/>
  <c r="O9" i="6" s="1"/>
  <c r="H39" i="4"/>
  <c r="F13" i="6" s="1"/>
  <c r="H24" i="4"/>
  <c r="F11" i="6" s="1"/>
  <c r="C20" i="7"/>
  <c r="F20" i="7" s="1"/>
  <c r="G20" i="7" s="1"/>
  <c r="E18" i="8"/>
  <c r="J4" i="4"/>
  <c r="E18" i="9"/>
  <c r="E18" i="7"/>
  <c r="E21" i="9"/>
  <c r="E21" i="7"/>
  <c r="H10" i="4"/>
  <c r="I77" i="4" l="1"/>
  <c r="H59" i="4"/>
  <c r="I24" i="4"/>
  <c r="C11" i="6" s="1"/>
  <c r="C22" i="9" s="1"/>
  <c r="F22" i="9" s="1"/>
  <c r="G22" i="9" s="1"/>
  <c r="I39" i="4"/>
  <c r="R9" i="6"/>
  <c r="J95" i="4"/>
  <c r="E38" i="9"/>
  <c r="M4" i="6"/>
  <c r="E23" i="8"/>
  <c r="E22" i="7"/>
  <c r="C21" i="9"/>
  <c r="F21" i="9" s="1"/>
  <c r="G21" i="9" s="1"/>
  <c r="C21" i="7"/>
  <c r="F21" i="7" s="1"/>
  <c r="G21" i="7" s="1"/>
  <c r="F9" i="6"/>
  <c r="I10" i="4"/>
  <c r="I76" i="4" l="1"/>
  <c r="C17" i="6"/>
  <c r="C34" i="9" s="1"/>
  <c r="F34" i="9" s="1"/>
  <c r="G34" i="9" s="1"/>
  <c r="I23" i="4"/>
  <c r="C19" i="8" s="1"/>
  <c r="F19" i="8" s="1"/>
  <c r="G19" i="8" s="1"/>
  <c r="I38" i="4"/>
  <c r="C13" i="6"/>
  <c r="C26" i="9" s="1"/>
  <c r="F26" i="9" s="1"/>
  <c r="G26" i="9" s="1"/>
  <c r="I9" i="4"/>
  <c r="C9" i="6"/>
  <c r="H76" i="4" l="1"/>
  <c r="C22" i="8"/>
  <c r="F22" i="8" s="1"/>
  <c r="G22" i="8" s="1"/>
  <c r="H23" i="4"/>
  <c r="C20" i="8"/>
  <c r="F20" i="8" s="1"/>
  <c r="G20" i="8" s="1"/>
  <c r="H38" i="4"/>
  <c r="C18" i="9"/>
  <c r="F18" i="9" s="1"/>
  <c r="G18" i="9" s="1"/>
  <c r="C18" i="7"/>
  <c r="F18" i="7" s="1"/>
  <c r="G18" i="7" s="1"/>
  <c r="H9" i="4"/>
  <c r="C18" i="8"/>
  <c r="F18" i="8" s="1"/>
  <c r="G18" i="8" s="1"/>
  <c r="I4" i="4"/>
  <c r="I95" i="4" l="1"/>
  <c r="H4" i="4"/>
  <c r="H95" i="4" s="1"/>
  <c r="C23" i="8"/>
  <c r="F23" i="8" s="1"/>
  <c r="C38" i="9"/>
  <c r="F38" i="9" s="1"/>
  <c r="C22" i="7"/>
  <c r="F22" i="7" s="1"/>
  <c r="K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<sst xmlns="http://schemas.openxmlformats.org/spreadsheetml/2006/main" count="5111" uniqueCount="3355">
  <si>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</si>
  <si>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</si>
  <si>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</si>
  <si>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</si>
  <si>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</si>
  <si>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</si>
  <si>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</si>
  <si>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</si>
  <si>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</si>
  <si>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</si>
  <si>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</si>
  <si>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</si>
  <si>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</si>
  <si>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</si>
  <si>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</si>
  <si>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</si>
  <si>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</si>
  <si>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</si>
  <si>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</si>
  <si>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</si>
  <si>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</si>
  <si>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</si>
  <si>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</si>
  <si>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</si>
  <si>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</si>
  <si>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</si>
  <si>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</si>
  <si>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</si>
  <si>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</si>
  <si>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</si>
  <si>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</si>
  <si>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</si>
  <si>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</si>
  <si>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</si>
  <si>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</si>
  <si>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</si>
  <si>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</si>
  <si>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</si>
  <si>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</si>
  <si>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</si>
  <si>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</si>
  <si>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</si>
  <si>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</si>
  <si>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</si>
  <si>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</si>
  <si>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</si>
  <si>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</si>
  <si>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</si>
  <si>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</si>
  <si>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</si>
  <si>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</si>
  <si>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</si>
  <si>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</si>
  <si>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</si>
  <si>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</si>
  <si>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</si>
  <si>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</si>
  <si>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</si>
  <si>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</si>
  <si>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</si>
  <si>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</si>
  <si>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</si>
  <si>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</si>
  <si>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</si>
  <si>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</si>
  <si>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</si>
  <si>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</si>
  <si>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</si>
  <si>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</si>
  <si>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</si>
  <si>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</si>
  <si>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</si>
  <si>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</si>
  <si>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</si>
  <si>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</si>
  <si>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</si>
  <si>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</si>
  <si>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</si>
  <si>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</si>
  <si>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</si>
  <si>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</si>
  <si>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</si>
  <si>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</si>
  <si>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</si>
  <si>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</si>
  <si>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</si>
  <si>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</si>
  <si>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</si>
  <si>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</si>
  <si>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</si>
  <si>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</si>
  <si>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</si>
  <si>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</si>
  <si>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</si>
  <si>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</si>
  <si>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</si>
  <si>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</si>
  <si>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</si>
  <si>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</si>
  <si>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</si>
  <si>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</si>
  <si>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</si>
  <si>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</si>
  <si>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</si>
  <si>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</si>
  <si>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</si>
  <si>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</si>
  <si>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</si>
  <si>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</si>
  <si>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</si>
  <si>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</si>
  <si>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</si>
  <si>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</si>
  <si>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</si>
  <si>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</si>
  <si>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</si>
  <si>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</si>
  <si>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</si>
  <si>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</si>
  <si>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</si>
  <si>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</si>
  <si>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</si>
  <si>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</si>
  <si>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</si>
  <si>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</si>
  <si>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</si>
  <si>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</si>
  <si>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</si>
  <si>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</si>
  <si>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</si>
  <si>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</si>
  <si>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</si>
  <si>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</si>
  <si>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</si>
  <si>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</si>
  <si>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</si>
  <si>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</si>
  <si>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</si>
  <si>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</si>
  <si>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</si>
  <si>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</si>
  <si>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</si>
  <si>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</si>
  <si>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</si>
  <si>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</si>
  <si>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</si>
  <si>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</si>
  <si>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</si>
  <si>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</si>
  <si>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</si>
  <si>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</si>
  <si>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</si>
  <si>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</si>
  <si>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</si>
  <si>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</si>
  <si>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</si>
  <si>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</si>
  <si>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</si>
  <si>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</si>
  <si>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</si>
  <si>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</si>
  <si>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</si>
  <si>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</si>
  <si>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</si>
  <si>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</si>
  <si>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</si>
  <si>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</si>
  <si>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</si>
  <si>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</si>
  <si>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</si>
  <si>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</si>
  <si>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</si>
  <si>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</si>
  <si>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</si>
  <si>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</si>
  <si>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</si>
  <si>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</si>
  <si>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</si>
  <si>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</si>
  <si>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</si>
  <si>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</si>
  <si>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</si>
  <si>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</si>
  <si>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</si>
  <si>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</si>
  <si>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</si>
  <si>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</si>
  <si>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</si>
  <si>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</si>
  <si>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</si>
  <si>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</si>
  <si>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</si>
  <si>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</si>
  <si>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</si>
  <si>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</si>
  <si>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</si>
  <si>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</si>
  <si>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</si>
  <si>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</si>
  <si>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</si>
  <si>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</si>
  <si>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</si>
  <si>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</si>
  <si>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</si>
  <si>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</si>
  <si>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</si>
  <si>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</si>
  <si>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</si>
  <si>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</si>
  <si>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</si>
  <si>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</si>
  <si>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</si>
  <si>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</si>
  <si>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</si>
  <si>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</si>
  <si>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</si>
  <si>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</si>
  <si>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</si>
  <si>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</si>
  <si>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</si>
  <si>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</si>
  <si>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</si>
  <si>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</si>
  <si>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</si>
  <si>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</si>
  <si>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</si>
  <si>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</si>
  <si>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</si>
  <si>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</si>
  <si>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</si>
  <si>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</si>
  <si>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</si>
  <si>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</si>
  <si>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</si>
  <si>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</si>
  <si>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</si>
  <si>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</si>
  <si>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</si>
  <si>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</si>
  <si>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</si>
  <si>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</si>
  <si>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</si>
  <si>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</si>
  <si>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</si>
  <si>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</si>
  <si>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</si>
  <si>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</si>
  <si>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</si>
  <si>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</si>
  <si>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</si>
  <si>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</si>
  <si>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</si>
  <si>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</si>
  <si>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</si>
  <si>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</si>
  <si>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</si>
  <si>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</si>
  <si>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</si>
  <si>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</si>
  <si>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</si>
  <si>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</si>
  <si>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</si>
  <si>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</si>
  <si>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</si>
  <si>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</si>
  <si>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</si>
  <si>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</si>
  <si>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</si>
  <si>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</si>
  <si>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</si>
  <si>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</si>
  <si>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</si>
  <si>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</si>
  <si>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</si>
  <si>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</si>
  <si>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</si>
  <si>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</si>
  <si>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</si>
  <si>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</si>
  <si>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</si>
  <si>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</si>
  <si>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</si>
  <si>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</si>
  <si>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</si>
  <si>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</si>
  <si>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</si>
  <si>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</si>
  <si>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</si>
  <si>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</si>
  <si>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</si>
  <si>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</si>
  <si>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</si>
  <si>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</si>
  <si>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</si>
  <si>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</si>
  <si>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</si>
  <si>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</si>
  <si>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</si>
  <si>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</si>
  <si>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</si>
  <si>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</si>
  <si>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</si>
  <si>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</si>
  <si>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</si>
  <si>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</si>
  <si>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</si>
  <si>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</si>
  <si>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</si>
  <si>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</si>
  <si>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</si>
  <si>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</si>
  <si>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</si>
  <si>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</si>
  <si>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</si>
  <si>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</si>
  <si>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</si>
  <si>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</si>
  <si>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</si>
  <si>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</si>
  <si>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</si>
  <si>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</si>
  <si>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</si>
  <si>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</si>
  <si>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</si>
  <si>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</si>
  <si>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</si>
  <si>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</si>
  <si>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</si>
  <si>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</si>
  <si>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</si>
  <si>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</si>
  <si>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</si>
  <si>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</si>
  <si>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</si>
  <si>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</si>
  <si>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</si>
  <si>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</si>
  <si>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</si>
  <si>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</si>
  <si>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</si>
  <si>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</si>
  <si>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</si>
  <si>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</si>
  <si>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</si>
  <si>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</si>
  <si>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</si>
  <si>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</si>
  <si>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</si>
  <si>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</si>
  <si>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</si>
  <si>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</si>
  <si>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</si>
  <si>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</si>
  <si>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</si>
  <si>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</si>
  <si>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</si>
  <si>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</si>
  <si>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</si>
  <si>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</si>
  <si>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</si>
  <si>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</si>
  <si>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</si>
  <si>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</si>
  <si>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</si>
  <si>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</si>
  <si>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</si>
  <si>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</si>
  <si>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</si>
  <si>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</si>
  <si>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</si>
  <si>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</si>
  <si>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</si>
  <si>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</si>
  <si>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</si>
  <si>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</si>
  <si>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</si>
  <si>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</si>
  <si>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</si>
  <si>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</si>
  <si>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</si>
  <si>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</si>
  <si>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</si>
  <si>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</si>
  <si>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</si>
  <si>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</si>
  <si>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</si>
  <si>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</si>
  <si>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</si>
  <si>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</si>
  <si>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</si>
  <si>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</si>
  <si>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</si>
  <si>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</si>
  <si>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</si>
  <si>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</si>
  <si>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</si>
  <si>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</si>
  <si>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</si>
  <si>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</si>
  <si>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</si>
  <si>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</si>
  <si>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</si>
  <si>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</si>
  <si>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</si>
  <si>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</si>
  <si>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</si>
  <si>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</si>
  <si>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</si>
  <si>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</si>
  <si>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</si>
  <si>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</si>
  <si>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</si>
  <si>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</si>
  <si>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</si>
  <si>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</si>
  <si>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</si>
  <si>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</si>
  <si>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</si>
  <si>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</si>
  <si>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</si>
  <si>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</si>
  <si>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</si>
  <si>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</si>
  <si>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</si>
  <si>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</si>
  <si>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</si>
  <si>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</si>
  <si>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</si>
  <si>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</si>
  <si>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</si>
  <si>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</si>
  <si>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</si>
  <si>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</si>
  <si>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</si>
  <si>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</si>
  <si>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</si>
  <si>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</si>
  <si>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</si>
  <si>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</si>
  <si>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</si>
  <si>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</si>
  <si>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</si>
  <si>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</si>
  <si>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</si>
  <si>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</si>
  <si>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</si>
  <si>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</si>
  <si>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</si>
  <si>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</si>
  <si>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</si>
  <si>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</si>
  <si>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</si>
  <si>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</si>
  <si>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</si>
  <si>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</si>
  <si>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</si>
  <si>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</si>
  <si>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</si>
  <si>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</si>
  <si>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</si>
  <si>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</si>
  <si>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</si>
  <si>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</si>
  <si>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</si>
  <si>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</si>
  <si>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</si>
  <si>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</si>
  <si>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</si>
  <si>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</si>
  <si>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</si>
  <si>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</si>
  <si>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</si>
  <si>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</si>
  <si>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</si>
  <si>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</si>
  <si>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</si>
  <si>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</si>
  <si>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</si>
  <si>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</si>
  <si>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</si>
  <si>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</si>
  <si>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</si>
  <si>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</si>
  <si>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</si>
  <si>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</si>
  <si>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</si>
  <si>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</si>
  <si>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</si>
  <si>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</si>
  <si>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</si>
  <si>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</si>
  <si>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</si>
  <si>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</si>
  <si>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</si>
  <si>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</si>
  <si>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</si>
  <si>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</si>
  <si>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</si>
  <si>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</si>
  <si>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</si>
  <si>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</si>
  <si>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</si>
  <si>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</si>
  <si>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</si>
  <si>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</si>
  <si>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</si>
  <si>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</si>
  <si>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</si>
  <si>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</si>
  <si>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</si>
  <si>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</si>
  <si>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</si>
  <si>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</si>
  <si>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</si>
  <si>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</si>
  <si>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</si>
  <si>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</si>
  <si>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</si>
  <si>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</si>
  <si>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</si>
  <si>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</si>
  <si>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</si>
  <si>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</si>
  <si>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</si>
  <si>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</si>
  <si>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</si>
  <si>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</si>
  <si>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</si>
  <si>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</si>
  <si>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</si>
  <si>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</si>
  <si>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</si>
  <si>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</si>
  <si>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</si>
  <si>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</si>
  <si>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</si>
  <si>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</si>
  <si>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</si>
  <si>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</si>
  <si>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</si>
  <si>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</si>
  <si>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</si>
  <si>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</si>
  <si>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</si>
  <si>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</si>
  <si>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</si>
  <si>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</si>
  <si>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</si>
  <si>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</si>
  <si>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</si>
  <si>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</si>
  <si>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</si>
  <si>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</si>
  <si>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</si>
  <si>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</si>
  <si>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</si>
  <si>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</si>
  <si>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</si>
  <si>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</si>
  <si>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</si>
  <si>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</si>
  <si>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</si>
  <si>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</si>
  <si>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</si>
  <si>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</si>
  <si>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</si>
  <si>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</si>
  <si>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</si>
  <si>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</si>
  <si>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</si>
  <si>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</si>
  <si>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</si>
  <si>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</si>
  <si>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</si>
  <si>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</si>
  <si>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</si>
  <si>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</si>
  <si>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</si>
  <si>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</si>
  <si>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</si>
  <si>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</si>
  <si>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</si>
  <si>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</si>
  <si>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</si>
  <si>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</si>
  <si>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</si>
  <si>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</si>
  <si>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</si>
  <si>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</si>
  <si>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</si>
  <si>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</si>
  <si>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</si>
  <si>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</si>
  <si>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</si>
  <si>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</si>
  <si>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</si>
  <si>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</si>
  <si>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</si>
  <si>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</si>
  <si>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</si>
  <si>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</si>
  <si>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</si>
  <si>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</si>
  <si>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</si>
  <si>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</si>
  <si>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</si>
  <si>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</si>
  <si>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</si>
  <si>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</si>
  <si>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</si>
  <si>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</si>
  <si>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</si>
  <si>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</si>
  <si>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</si>
  <si>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</si>
  <si>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</si>
  <si>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</si>
  <si>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</si>
  <si>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</si>
  <si>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</si>
  <si>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</si>
  <si>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</si>
  <si>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</si>
  <si>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</si>
  <si>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</si>
  <si>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</si>
  <si>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</si>
  <si>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</si>
  <si>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</si>
  <si>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</si>
  <si>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</si>
  <si>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</si>
  <si>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</si>
  <si>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</si>
  <si>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</si>
  <si>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</si>
  <si>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</si>
  <si>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</si>
  <si>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</si>
  <si>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</si>
  <si>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</si>
  <si>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</si>
  <si>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</si>
  <si>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</si>
  <si>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</si>
  <si>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</si>
  <si>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</si>
  <si>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</si>
  <si>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</si>
  <si>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</si>
  <si>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</si>
  <si>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</si>
  <si>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</si>
  <si>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</si>
  <si>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</si>
  <si>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</si>
  <si>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</si>
  <si>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</si>
  <si>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</si>
  <si>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</si>
  <si>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</si>
  <si>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</si>
  <si>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</si>
  <si>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</si>
  <si>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</si>
  <si>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</si>
  <si>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</si>
  <si>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</si>
  <si>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</si>
  <si>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</si>
  <si>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</si>
  <si>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</si>
  <si>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</si>
  <si>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</si>
  <si>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</si>
  <si>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</si>
  <si>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</si>
  <si>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</si>
  <si>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</si>
  <si>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</si>
  <si>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</si>
  <si>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</si>
  <si>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</si>
  <si>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</si>
  <si>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</si>
  <si>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</si>
  <si>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</si>
  <si>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</si>
  <si>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</si>
  <si>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</si>
  <si>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</si>
  <si>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</si>
  <si>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</si>
  <si>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</si>
  <si>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</si>
  <si>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</si>
  <si>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</si>
  <si>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</si>
  <si>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</si>
  <si>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</si>
  <si>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</si>
  <si>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</si>
  <si>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</si>
  <si>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</si>
  <si>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</si>
  <si>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</si>
  <si>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</si>
  <si>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</si>
  <si>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</si>
  <si>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</si>
  <si>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</si>
  <si>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</si>
  <si>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</si>
  <si>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</si>
  <si>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</si>
  <si>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</si>
  <si>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</si>
  <si>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</si>
  <si>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</si>
  <si>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</si>
  <si>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</si>
  <si>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</si>
  <si>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</si>
  <si>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</si>
  <si>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</si>
  <si>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</si>
  <si>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</si>
  <si>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</si>
  <si>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</si>
  <si>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</si>
  <si>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</si>
  <si>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</si>
  <si>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</si>
  <si>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</si>
  <si>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</si>
  <si>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</si>
  <si>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</si>
  <si>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</si>
  <si>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</si>
  <si>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</si>
  <si>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</si>
  <si>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</si>
  <si>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</si>
  <si>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</si>
  <si>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</si>
  <si>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</si>
  <si>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</si>
  <si>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</si>
  <si>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</si>
  <si>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</si>
  <si>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</si>
  <si>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</si>
  <si>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</si>
  <si>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</si>
  <si>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</si>
  <si>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</si>
  <si>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</si>
  <si>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</si>
  <si>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</si>
  <si>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</si>
  <si>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</si>
  <si>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</si>
  <si>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</si>
  <si>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</si>
  <si>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</si>
  <si>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</si>
  <si>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</si>
  <si>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</si>
  <si>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</si>
  <si>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</si>
  <si>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</si>
  <si>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</si>
  <si>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</si>
  <si>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</si>
  <si>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</si>
  <si>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</si>
  <si>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</si>
  <si>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</si>
  <si>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</si>
  <si>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</si>
  <si>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</si>
  <si>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</si>
  <si>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</si>
  <si>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</si>
  <si>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</si>
  <si>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</si>
  <si>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</si>
  <si>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</si>
  <si>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</si>
  <si>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</si>
  <si>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</si>
  <si>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</si>
  <si>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</si>
  <si>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</si>
  <si>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</si>
  <si>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</si>
  <si>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</si>
  <si>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</si>
  <si>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</si>
  <si>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</si>
  <si>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</si>
  <si>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</si>
  <si>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</si>
  <si>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</si>
  <si>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</si>
  <si>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</si>
  <si>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</si>
  <si>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</si>
  <si>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</si>
  <si>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</si>
  <si>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</si>
  <si>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</si>
  <si>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</si>
  <si>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</si>
  <si>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</si>
  <si>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</si>
  <si>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</si>
  <si>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</si>
  <si>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</si>
  <si>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</si>
  <si>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</si>
  <si>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</si>
  <si>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</si>
  <si>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</si>
  <si>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</si>
  <si>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</si>
  <si>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</si>
  <si>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</si>
  <si>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</si>
  <si>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</si>
  <si>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</si>
  <si>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</si>
  <si>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</si>
  <si>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</si>
  <si>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</si>
  <si>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</si>
  <si>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</si>
  <si>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</si>
  <si>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</si>
  <si>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</si>
  <si>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</si>
  <si>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</si>
  <si>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</si>
  <si>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</si>
  <si>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</si>
  <si>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</si>
  <si>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</si>
  <si>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</si>
  <si>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</si>
  <si>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</si>
  <si>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</si>
  <si>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</si>
  <si>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</si>
  <si>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</si>
  <si>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</si>
  <si>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</si>
  <si>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</si>
  <si>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</si>
  <si>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</si>
  <si>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</si>
  <si>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</si>
  <si>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</si>
  <si>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</si>
  <si>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</si>
  <si>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</si>
  <si>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</si>
  <si>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</si>
  <si>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</si>
  <si>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</si>
  <si>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</si>
  <si>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</si>
  <si>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</si>
  <si>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</si>
  <si>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</si>
  <si>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</si>
  <si>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</si>
  <si>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</si>
  <si>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</si>
  <si>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</si>
  <si>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</si>
  <si>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</si>
  <si>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</si>
  <si>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</si>
  <si>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</si>
  <si>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</si>
  <si>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</si>
  <si>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</si>
  <si>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</si>
  <si>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</si>
  <si>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</si>
  <si>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</si>
  <si>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</si>
  <si>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</si>
  <si>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</si>
  <si>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</si>
  <si>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</si>
  <si>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</si>
  <si>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</si>
  <si>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</si>
  <si>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</si>
  <si>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</si>
  <si>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</si>
  <si>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</si>
  <si>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</si>
  <si>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</si>
  <si>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</si>
  <si>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</si>
  <si>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</si>
  <si>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</si>
  <si>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</si>
  <si>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</si>
  <si>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</si>
  <si>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</si>
  <si>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</si>
  <si>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</si>
  <si>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</si>
  <si>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</si>
  <si>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</si>
  <si>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</si>
  <si>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</si>
  <si>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</si>
  <si>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</si>
  <si>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</si>
  <si>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</si>
  <si>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</si>
  <si>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</si>
  <si>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</si>
  <si>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</si>
  <si>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</si>
  <si>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</si>
  <si>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</si>
  <si>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</si>
  <si>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</si>
  <si>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</si>
  <si>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</si>
  <si>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</si>
  <si>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</si>
  <si>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</si>
  <si>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</si>
  <si>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</si>
  <si>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</si>
  <si>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</si>
  <si>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</si>
  <si>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</si>
  <si>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</si>
  <si>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</si>
  <si>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</si>
  <si>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</si>
  <si>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</si>
  <si>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</si>
  <si>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</si>
  <si>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</si>
  <si>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</si>
  <si>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Bilanz-Jahr</t>
  </si>
  <si>
    <t>Anno di riferimento</t>
  </si>
  <si>
    <t>Period under review</t>
  </si>
  <si>
    <t>BERECHNUNG DER EINZELNEN ASPEKTE</t>
  </si>
  <si>
    <t>Calcolo detagliato dei singoli aspetti</t>
  </si>
  <si>
    <t>CALCULATION OF INDIVIDUAL ASPECTS</t>
  </si>
  <si>
    <t>CÁLCULO DE CADA UNO DE LOS ASPECTOS</t>
  </si>
  <si>
    <t>Gemeinwohl-Bilanz-Rechner</t>
  </si>
  <si>
    <t>Calcolatore del bilancio del Bene Comune</t>
  </si>
  <si>
    <t>Common Good Balance Calculator</t>
  </si>
  <si>
    <t>Calculadora del Bien Común</t>
  </si>
  <si>
    <t>BILANZSUMME:</t>
  </si>
  <si>
    <t>Somma Bilancio:</t>
  </si>
  <si>
    <t>Total Balance Score:</t>
  </si>
  <si>
    <t>Puntuación total:</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</si>
  <si>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</si>
  <si>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</si>
  <si>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</si>
  <si>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</si>
  <si>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</si>
  <si>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</si>
  <si>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</si>
  <si>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</si>
  <si>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</si>
  <si>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</si>
  <si>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</si>
  <si>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</si>
  <si>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</si>
  <si>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</si>
  <si>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</si>
  <si>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</si>
  <si>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</si>
  <si>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</si>
  <si>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</si>
  <si>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</si>
  <si>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</si>
  <si>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</si>
  <si>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</si>
  <si>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</si>
  <si>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</si>
  <si>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</si>
  <si>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</si>
  <si>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</si>
  <si>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</si>
  <si>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</si>
  <si>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</si>
  <si>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</si>
  <si>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</si>
  <si>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</si>
  <si>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</si>
  <si>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Verbesserungspotenzial</t>
  </si>
  <si>
    <t>Possibilità di miglioramento</t>
  </si>
  <si>
    <t>Potential for improvement</t>
  </si>
  <si>
    <t>Áreas de mejora</t>
  </si>
  <si>
    <t>Erfüll.</t>
  </si>
  <si>
    <t>Val%</t>
  </si>
  <si>
    <t>Est%</t>
  </si>
  <si>
    <t>Nivel</t>
  </si>
  <si>
    <t>Pkte</t>
  </si>
  <si>
    <t>Punti</t>
  </si>
  <si>
    <t>Points</t>
  </si>
  <si>
    <t>Punt.</t>
  </si>
  <si>
    <t>Max.</t>
  </si>
  <si>
    <t>Stakeholders/ tematiche/ aspetti</t>
  </si>
  <si>
    <t>Stakeholders/ Themes/ Aspects</t>
  </si>
  <si>
    <t>Lieferant*innen</t>
  </si>
  <si>
    <t>Fornitori</t>
  </si>
  <si>
    <t>Suppliers</t>
  </si>
  <si>
    <t>Proveedores</t>
  </si>
  <si>
    <t>Menschenwürde in der Zulieferkette</t>
  </si>
  <si>
    <t>La dignità umana lungo la catena di fornitura</t>
  </si>
  <si>
    <t>Human dignity in the supply chain</t>
  </si>
  <si>
    <t>Dignidad humana en la cadena de suministro</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</si>
  <si>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</si>
  <si>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</si>
  <si>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</si>
  <si>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</si>
  <si>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</si>
  <si>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</si>
  <si>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</si>
  <si>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</si>
  <si>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Solidarität und Gerechtigkeit in der Zulieferkette</t>
  </si>
  <si>
    <t>Solidarietà e giustizia nella catena di fornitura</t>
  </si>
  <si>
    <t>Solidarity and social justice in the supply chain</t>
  </si>
  <si>
    <t>Justicia y solidaridad en la cadena de suministro</t>
  </si>
  <si>
    <t>Faire Geschäftsbeziehungen zu direkten Lieferant*innen</t>
  </si>
  <si>
    <t>Relazioni commerciali eque nei confronti dei fornitori diretti</t>
  </si>
  <si>
    <t>Fair business practices towards direct suppliers</t>
  </si>
  <si>
    <t>Actitud ética con proveedores directos</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</si>
  <si>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</si>
  <si>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</si>
  <si>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</si>
  <si>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</si>
  <si>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</si>
  <si>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</si>
  <si>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</si>
  <si>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</si>
  <si>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Ökologische Nachhaltigkeit in der Zulieferkette</t>
  </si>
  <si>
    <t>Sostenibilità ecologica nella catena di fornitura</t>
  </si>
  <si>
    <t>Environmental sustainability in the supply chain</t>
  </si>
  <si>
    <t>Sostenibilidad medioambiental en la cadena de suministro</t>
  </si>
  <si>
    <t>Umweltauswirkungen in der Zulieferkette</t>
  </si>
  <si>
    <t>Conseguenze ambientali lungo la catena di fornitura</t>
  </si>
  <si>
    <t>Environmental impact throughout the supply chain</t>
  </si>
  <si>
    <t>Impacto medioambiental en la cadena de suministro</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</si>
  <si>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</si>
  <si>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</si>
  <si>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</si>
  <si>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</si>
  <si>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</si>
  <si>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</si>
  <si>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</si>
  <si>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</si>
  <si>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</si>
  <si>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</si>
  <si>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</si>
  <si>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</si>
  <si>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</si>
  <si>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</si>
  <si>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</si>
  <si>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</si>
  <si>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Eigentümer*innen und Finanzpartner*innen</t>
  </si>
  <si>
    <t>Proprietari &amp; partner finanziari</t>
  </si>
  <si>
    <t>Owners, equity- and financial service providers</t>
  </si>
  <si>
    <t>Propietarios y proveedores financieros</t>
  </si>
  <si>
    <t>Ethische Haltung im Umgang mit Geldmitteln</t>
  </si>
  <si>
    <t>Atteggiamento etico nell'impiego di fondi</t>
  </si>
  <si>
    <t>Ethical position in relation to financial resources</t>
  </si>
  <si>
    <t>Actitud ética en la gestión de recursos financieros</t>
  </si>
  <si>
    <t>Finanzielle Unabhängigkeit durch Eigenfinanzierung</t>
  </si>
  <si>
    <t>Autonomia finanziaria grazie all'autofinanziamento</t>
  </si>
  <si>
    <t>Financial independence through equity financing</t>
  </si>
  <si>
    <t>Independencia financiera: autofinanciación</t>
  </si>
  <si>
    <t>Gemeinwohlorientierte Fremdfinanzierung</t>
  </si>
  <si>
    <t>Finanziamento esterno orientato al bene comune</t>
  </si>
  <si>
    <t>Common Good-orientated borrowing</t>
  </si>
  <si>
    <t>Financiación externa orientada al Bien Común</t>
  </si>
  <si>
    <t>Ethische Haltung externer Finanzpartner*innen</t>
  </si>
  <si>
    <t>L'approccio etico di finanziatori esterni</t>
  </si>
  <si>
    <t>Ethical position of external financial partners</t>
  </si>
  <si>
    <t>Actitud ética de los proveedores financieros</t>
  </si>
  <si>
    <t>Soziale Haltung im Umgang mit Geldmitteln</t>
  </si>
  <si>
    <t>Atteggiamento sociale nell'impiego di fondi</t>
  </si>
  <si>
    <t>Social position in relation to financial resources</t>
  </si>
  <si>
    <t>Actitud solidaria en la gestión de recursos financieros</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</si>
  <si>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</si>
  <si>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</si>
  <si>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</si>
  <si>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</si>
  <si>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Negativ-Aspekt: Unfaire Verteilung von Geldmittel</t>
  </si>
  <si>
    <t>Aspetto negativo: Distribuzione iniqua di fondi</t>
  </si>
  <si>
    <t>Negative aspect: unfair distribution of funds</t>
  </si>
  <si>
    <t>Aspecto negativo: repartición injusta de los recursos financieros</t>
  </si>
  <si>
    <t>Sozial-ökologische Investitionen und Mittelverwendung</t>
  </si>
  <si>
    <t>Investimenti socio-ecologici e impiego dei fondi</t>
  </si>
  <si>
    <t>Use of funds in relation to social and environmental impacts</t>
  </si>
  <si>
    <t>Inversiones financieras sostenibles y uso de los recursos financieros</t>
  </si>
  <si>
    <t>Ökologische Qualität der Investitionen</t>
  </si>
  <si>
    <t>Qualità ecologica degli investimenti</t>
  </si>
  <si>
    <t>Environmental quality of investments</t>
  </si>
  <si>
    <t>Carácter ambiental de los recursos financieros</t>
  </si>
  <si>
    <t>Gemeinwohlorientierte Veranlagung</t>
  </si>
  <si>
    <t>Investimento orientato al bene comune</t>
  </si>
  <si>
    <t>Common Good-orientated investment</t>
  </si>
  <si>
    <t>Inversiones orientadas al Bien Común</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</si>
  <si>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</si>
  <si>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</si>
  <si>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</si>
  <si>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</si>
  <si>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Eigentum und Mitentscheidung</t>
  </si>
  <si>
    <t>Proprietà e condivisione delle decisioni</t>
  </si>
  <si>
    <t>Ownership and co-determination</t>
  </si>
  <si>
    <t>Propiedad y participación democrática</t>
  </si>
  <si>
    <t>Gemeinwohlorientierte Eigentumsstruktur</t>
  </si>
  <si>
    <t>Struttura di proprietà orientata al bene comune</t>
  </si>
  <si>
    <t>Common Good-orientated ownership structure</t>
  </si>
  <si>
    <t>Distribución de la propiedad orientada al Bien Común</t>
  </si>
  <si>
    <t>Negativ-Aspekt: Feindliche Übernahme</t>
  </si>
  <si>
    <t>Aspetto negativo: Scalata ostile</t>
  </si>
  <si>
    <t>Negative aspect: hostile takeover</t>
  </si>
  <si>
    <t>Aspecto negativo: oferta pública de adquisición (OPA) hostil</t>
  </si>
  <si>
    <t>Mitarbeitende</t>
  </si>
  <si>
    <t>Collaboratori</t>
  </si>
  <si>
    <t>Employees</t>
  </si>
  <si>
    <t>Trabajadores</t>
  </si>
  <si>
    <t>Menschenwürde am Arbeitsplatz</t>
  </si>
  <si>
    <t>La dignità umana sul posto di lavoro</t>
  </si>
  <si>
    <t>Human dignity in the workplace and working environment</t>
  </si>
  <si>
    <t>Dignidad humana en el puesto de trabajo</t>
  </si>
  <si>
    <t>Mitarbeiterorientierte Unternehmenskultur</t>
  </si>
  <si>
    <t>Cultura aziendale orientata ai collaboratori</t>
  </si>
  <si>
    <t>Employee-focused organisational culture</t>
  </si>
  <si>
    <t>Cultura empresarial orientada a las personas</t>
  </si>
  <si>
    <t>Gesundheitsförderung und Arbeitsschutz</t>
  </si>
  <si>
    <t xml:space="preserve">Promozione della salute e protezione sul posto di lavoro </t>
  </si>
  <si>
    <t>Health promotion and occupational health and safety</t>
  </si>
  <si>
    <t>Promoción de la salud y seguridad en el trabajo</t>
  </si>
  <si>
    <t>Diversität und Chancengleichheit</t>
  </si>
  <si>
    <t>Diversità e pari opportunità</t>
  </si>
  <si>
    <t>Diversity and equal opportunities</t>
  </si>
  <si>
    <t>Diversidad e igualdad de oportunidades</t>
  </si>
  <si>
    <t>Negativ-Aspekt: Menschenunwürdige Arbeitsbedingungen</t>
  </si>
  <si>
    <t>Aspetto negativo: Condizioni di lavoro disumane</t>
  </si>
  <si>
    <t>Negative aspect: unfit working conditions</t>
  </si>
  <si>
    <t>Aspecto negativo: condiciones de trabajo indignas</t>
  </si>
  <si>
    <t>Ausgestaltung der Arbeitsverträge</t>
  </si>
  <si>
    <t>Self-determined working arrangements</t>
  </si>
  <si>
    <t>Formalidad de los contratos de trabajo</t>
  </si>
  <si>
    <t>Ausgestaltung des Verdienstes</t>
  </si>
  <si>
    <t>Strutturazione del guadagno</t>
  </si>
  <si>
    <t>Pay structure</t>
  </si>
  <si>
    <t>Formalidad y estructura salarial</t>
  </si>
  <si>
    <t>Ausgestaltung der Arbeitszeit</t>
  </si>
  <si>
    <t>Organizzazione dell'orario di lavoro</t>
  </si>
  <si>
    <t>Structuring working time</t>
  </si>
  <si>
    <t>Formalidad en el horario laboral</t>
  </si>
  <si>
    <t>Ausgestaltung des Arbeitsverhältnisses und Work-Life-Balance</t>
  </si>
  <si>
    <t>Organizzazione del rapporto di lavoro e Work-Life-Balance</t>
  </si>
  <si>
    <t>Employment structure and work-life balance</t>
  </si>
  <si>
    <t>Formalidad en las condiciones de trabajo y en la conciliación</t>
  </si>
  <si>
    <t>Negativ-Aspekt: Ungerechte Ausgestaltung der Arbeitsverträge</t>
  </si>
  <si>
    <t>Aspetto negativo: Strutturazione ingiusta dei contratti di lavoro</t>
  </si>
  <si>
    <t>Negative aspect: unfair employment contracts</t>
  </si>
  <si>
    <t>Aspecto negativo: contratos de trabajo injustos</t>
  </si>
  <si>
    <t>Förderung des ökologischen Verhaltens der Mitarbeitenden</t>
  </si>
  <si>
    <t>Promozione del comportamento ecologico dei collaboratori</t>
  </si>
  <si>
    <t>Environmentally-friendly behaviour of staff</t>
  </si>
  <si>
    <t>Promoción de la responsabilidad medioambiental de los trabajadores</t>
  </si>
  <si>
    <t>Ernährung während der Arbeitszeit</t>
  </si>
  <si>
    <t>L'alimentazione durante l'orario di lavoro</t>
  </si>
  <si>
    <t>Food during working hours</t>
  </si>
  <si>
    <t>Alimentación durante la jornada laboral</t>
  </si>
  <si>
    <t>Mobilität zum Arbeitsplatz</t>
  </si>
  <si>
    <t>Mobilità sul posto di lavoro</t>
  </si>
  <si>
    <t>Travel to work</t>
  </si>
  <si>
    <t>Movilidad sostenible al puesto de trabajo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</si>
  <si>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</si>
  <si>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</si>
  <si>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</si>
  <si>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</si>
  <si>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</si>
  <si>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</si>
  <si>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</si>
  <si>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</si>
  <si>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Condivisione delle decisioni e trasparenza in azienda</t>
  </si>
  <si>
    <t>Co-determination and transparency within the organisation</t>
  </si>
  <si>
    <t>Transparencia y participación democrática interna</t>
  </si>
  <si>
    <t>Innerbetriebliche Transparenz</t>
  </si>
  <si>
    <t>Trasparenza in azienda</t>
  </si>
  <si>
    <t>Transparency within the organisation</t>
  </si>
  <si>
    <t>Transparencia interna</t>
  </si>
  <si>
    <t>Legitimierung der Führungskräfte</t>
  </si>
  <si>
    <t>Legittimazione dei dirigenti</t>
  </si>
  <si>
    <t>Legitimation of the management</t>
  </si>
  <si>
    <t>Legitimación de la dirección</t>
  </si>
  <si>
    <t>Mitentscheidung der Mitarbeitenden</t>
  </si>
  <si>
    <t>Condivisione delle decisioni da parte dei collaboratori</t>
  </si>
  <si>
    <t>Employee co-determination</t>
  </si>
  <si>
    <t>Participación de los trabajadores en la toma de decisiones</t>
  </si>
  <si>
    <t>Negativ-Aspekt C4.4: Verhinderung des Betriebsrates</t>
  </si>
  <si>
    <t>Aspetto negativo: Impedimento del consiglio aziendale</t>
  </si>
  <si>
    <t>Negative aspect: obstruction of works councils</t>
  </si>
  <si>
    <t>Aspecto negativo: Impedimiento del comité de empresa</t>
  </si>
  <si>
    <t>Kund*nnen und Mitunternehmen</t>
  </si>
  <si>
    <t>Clienti &amp; concorrenti</t>
  </si>
  <si>
    <t>Customers and other companies</t>
  </si>
  <si>
    <t>Clientes y otras empresas</t>
  </si>
  <si>
    <t>Ethische Kund*innenbeziehungen</t>
  </si>
  <si>
    <t>Relazioni etiche con la clientela</t>
  </si>
  <si>
    <t>Ethical customer relations</t>
  </si>
  <si>
    <t>Actitud ética con los clientes</t>
  </si>
  <si>
    <t>Menschenwürdige Kommunikation mit Kund*innen</t>
  </si>
  <si>
    <t>Comunicazione dignitosa con i clienti</t>
  </si>
  <si>
    <t>Respect for human dignity in communication with customers</t>
  </si>
  <si>
    <t>Comunicación transparente con los clientes</t>
  </si>
  <si>
    <t>Barrierefreiheit</t>
  </si>
  <si>
    <t>Assenza di barriere</t>
  </si>
  <si>
    <t>Barrier-free access</t>
  </si>
  <si>
    <t>Accesibilidad</t>
  </si>
  <si>
    <t>Negativ-Aspekt: Unethische Werbemaßnahmen</t>
  </si>
  <si>
    <t>Aspetto negativo: Misure pubblicitarie non etiche</t>
  </si>
  <si>
    <t>Negative aspect: unethical advertising</t>
  </si>
  <si>
    <t>Aspecto negativo: publicidad engañosa y acciones comerciales no éticas</t>
  </si>
  <si>
    <t>Kooperation und Solidarität mit Mitunternehmen</t>
  </si>
  <si>
    <t>Cooperazione e solidarietà con i concorrenti</t>
  </si>
  <si>
    <t>Cooperation and solidarity with other companies</t>
  </si>
  <si>
    <t>Cooperación y solidaridad con otras empresas del sector</t>
  </si>
  <si>
    <t>Kooperation mit Mitunternehmen</t>
  </si>
  <si>
    <t>Cooperazione con i concorrenti</t>
  </si>
  <si>
    <t>Cooperation with other companies</t>
  </si>
  <si>
    <t>Cooperación con otras empresas</t>
  </si>
  <si>
    <t>Solidarität mit Mitunternehmen</t>
  </si>
  <si>
    <t>La solidarietà con i concorrenti</t>
  </si>
  <si>
    <t>Solidarity with other companies</t>
  </si>
  <si>
    <t>Solidaridad con otras empresas</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</si>
  <si>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</si>
  <si>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</si>
  <si>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</si>
  <si>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</si>
  <si>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</si>
  <si>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</si>
  <si>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</si>
  <si>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</si>
  <si>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</si>
  <si>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</si>
  <si>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</si>
  <si>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</si>
  <si>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Maßvolle Nutzung von Produkten und Dienstleistungen (Suffizienz)</t>
  </si>
  <si>
    <t>Utilizzo moderato di prodotti e servizi (sufficienza)</t>
  </si>
  <si>
    <t>Moderate use of products and services (sufficiency)</t>
  </si>
  <si>
    <t>Uso moderado de productos y servicios (suficiencia)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</si>
  <si>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</si>
  <si>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</si>
  <si>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</si>
  <si>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</si>
  <si>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Kund*innen-Mitwirkung und Produkttransparenz</t>
  </si>
  <si>
    <t>Partecipazione dei clienti e trasparenza dei prodotti</t>
  </si>
  <si>
    <t>Customer participation and product transparency</t>
  </si>
  <si>
    <t>Participación de los clientes y transparencia de producto</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</si>
  <si>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</si>
  <si>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</si>
  <si>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</si>
  <si>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</si>
  <si>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Produkttransparenz</t>
  </si>
  <si>
    <t>Trasparenza dei prodotti</t>
  </si>
  <si>
    <t>Product transparency</t>
  </si>
  <si>
    <t>Transparencia de producto</t>
  </si>
  <si>
    <t>Negativ-Aspekt: Kein Ausweis von Gefahrenstoffen</t>
  </si>
  <si>
    <t>Aspetto negativo: Mancata indicazione di sostanze pericolose</t>
  </si>
  <si>
    <t>Negative aspect: non-disclosure of hazardous substances</t>
  </si>
  <si>
    <t>Aspecto negativo: no declaración sobre sustancias/mercancías peligrosas</t>
  </si>
  <si>
    <t>Gesellschaftliches Umfeld</t>
  </si>
  <si>
    <t>Contesto sociale</t>
  </si>
  <si>
    <t>Social environment</t>
  </si>
  <si>
    <t>Entorno social</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</si>
  <si>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</si>
  <si>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</si>
  <si>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</si>
  <si>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</si>
  <si>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</si>
  <si>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</si>
  <si>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</si>
  <si>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</si>
  <si>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Gesellschaftliche Wirkung der Produkte und Dienstleistungen</t>
  </si>
  <si>
    <t>Impatto dei prodotti e servizi sulla società</t>
  </si>
  <si>
    <t>Social impact of products and services</t>
  </si>
  <si>
    <t>Impacto social de los productos y servicios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</si>
  <si>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</si>
  <si>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</si>
  <si>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</si>
  <si>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</si>
  <si>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Beitrag zum Gemeinwesen</t>
  </si>
  <si>
    <t>Contributo per la collettività</t>
  </si>
  <si>
    <t>Contribution to the community</t>
  </si>
  <si>
    <t>Contribución a la comunidad</t>
  </si>
  <si>
    <t>Steuern und Sozialabgaben</t>
  </si>
  <si>
    <t>Imposte e oneri sociali</t>
  </si>
  <si>
    <t>Taxes and social security contributions</t>
  </si>
  <si>
    <t>Impuestos y prestaciones sociales</t>
  </si>
  <si>
    <t>Freiwillige Beiträge zur Stärkung des Gemeinwesens</t>
  </si>
  <si>
    <t>Contributi volontari per rafforzare la collettività</t>
  </si>
  <si>
    <t>Voluntary contributions that strengthen society</t>
  </si>
  <si>
    <t>Contribución voluntaria a la comunidad</t>
  </si>
  <si>
    <t>Negativ-Aspekt: Illegitime Steuervermeidung</t>
  </si>
  <si>
    <t>Aspetto negativo: Evasione fiscale illecita</t>
  </si>
  <si>
    <t>Negative aspect: inappropriate non-payment of tax</t>
  </si>
  <si>
    <t>Aspecto negativo: elusión y evasión fiscal</t>
  </si>
  <si>
    <t>Negativ-Aspekt: Mangelnde Korruptionsprävention</t>
  </si>
  <si>
    <t>Aspetto negativo: Mancata prevenzione della corruzione</t>
  </si>
  <si>
    <t>Negative aspect: no anti-corruption policy</t>
  </si>
  <si>
    <t>Aspecto negativo: falta de prevención frente a la corrupción</t>
  </si>
  <si>
    <t>Reduktion ökologischer Auswirkungen</t>
  </si>
  <si>
    <t>Riduzione delle conseguenze ecologiche</t>
  </si>
  <si>
    <t>Reduction of environmental impact</t>
  </si>
  <si>
    <t>Reducción del impacto medioambiental</t>
  </si>
  <si>
    <t>Absolute Auswirkungen / Management &amp; Strategie</t>
  </si>
  <si>
    <t>Conseguenze assolute / Management &amp; strategia</t>
  </si>
  <si>
    <t>Absolute impact and management strategy</t>
  </si>
  <si>
    <t>Impacto medioambiental / Gestión y estrategia</t>
  </si>
  <si>
    <t>Relative Auswirkungen</t>
  </si>
  <si>
    <t>Conseguenze relative</t>
  </si>
  <si>
    <t>Relative impact</t>
  </si>
  <si>
    <t>Impacto relativo</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</si>
  <si>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</si>
  <si>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</si>
  <si>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</si>
  <si>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</si>
  <si>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Transparenz und gesellschaftliche Mitentscheidung</t>
  </si>
  <si>
    <t>Trasparenza e condivisione sociale delle decisioni</t>
  </si>
  <si>
    <t>Social co-determination and transparency</t>
  </si>
  <si>
    <t>Transparencia y participación democrática del entorno social</t>
  </si>
  <si>
    <t>Transparenz</t>
  </si>
  <si>
    <t>Trasparenza</t>
  </si>
  <si>
    <t>Transparency</t>
  </si>
  <si>
    <t>Transparencia</t>
  </si>
  <si>
    <t>Gesellschaftliche Mitbestimmung</t>
  </si>
  <si>
    <t>Condivisione sociale delle decisioni</t>
  </si>
  <si>
    <t>Social participation</t>
  </si>
  <si>
    <t>Participación en la toma de decisiones el entorno social</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</si>
  <si>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</si>
  <si>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</si>
  <si>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</si>
  <si>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</si>
  <si>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</si>
  <si>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</si>
  <si>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</si>
  <si>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</si>
  <si>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</si>
  <si>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</si>
  <si>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</si>
  <si>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</si>
  <si>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</si>
  <si>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</si>
  <si>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</si>
  <si>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</si>
  <si>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</si>
  <si>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</si>
  <si>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</si>
  <si>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</si>
  <si>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</si>
  <si>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</si>
  <si>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</si>
  <si>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</si>
  <si>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</si>
  <si>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</si>
  <si>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</si>
  <si>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</si>
  <si>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</si>
  <si>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</si>
  <si>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</si>
  <si>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</si>
  <si>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</si>
  <si>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</si>
  <si>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</si>
  <si>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</si>
  <si>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</si>
  <si>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</si>
  <si>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</si>
  <si>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</si>
  <si>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</si>
  <si>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</si>
  <si>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</si>
  <si>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</si>
  <si>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</si>
  <si>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</si>
  <si>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</si>
  <si>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</si>
  <si>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</si>
  <si>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</si>
  <si>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</si>
  <si>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</si>
  <si>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</si>
  <si>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</si>
  <si>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</si>
  <si>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</si>
  <si>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</si>
  <si>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</si>
  <si>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</si>
  <si>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</si>
  <si>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</si>
  <si>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</si>
  <si>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</si>
  <si>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</si>
  <si>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</si>
  <si>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</si>
  <si>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</si>
  <si>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</si>
  <si>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</si>
  <si>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</si>
  <si>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</si>
  <si>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</si>
  <si>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</si>
  <si>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</si>
  <si>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</si>
  <si>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</si>
  <si>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</si>
  <si>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</si>
  <si>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</si>
  <si>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</si>
  <si>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</si>
  <si>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</si>
  <si>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</si>
  <si>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</si>
  <si>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</si>
  <si>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</si>
  <si>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</si>
  <si>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</si>
  <si>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</si>
  <si>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</si>
  <si>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</si>
  <si>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</si>
  <si>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</si>
  <si>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</si>
  <si>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</si>
  <si>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</si>
  <si>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</si>
  <si>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</si>
  <si>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</si>
  <si>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</si>
  <si>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</si>
  <si>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</si>
  <si>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</si>
  <si>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</si>
  <si>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</si>
  <si>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</si>
  <si>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</si>
  <si>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</si>
  <si>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</si>
  <si>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</si>
  <si>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</si>
  <si>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</si>
  <si>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</si>
  <si>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</si>
  <si>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</si>
  <si>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</si>
  <si>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</si>
  <si>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</si>
  <si>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</si>
  <si>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</si>
  <si>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</si>
  <si>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</si>
  <si>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</si>
  <si>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</si>
  <si>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</si>
  <si>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</si>
  <si>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</si>
  <si>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</si>
  <si>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</si>
  <si>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</si>
  <si>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</si>
  <si>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</si>
  <si>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</si>
  <si>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</si>
  <si>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</si>
  <si>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</si>
  <si>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</si>
  <si>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</si>
  <si>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</si>
  <si>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</si>
  <si>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</si>
  <si>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</si>
  <si>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</si>
  <si>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</si>
  <si>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</si>
  <si>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</si>
  <si>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</si>
  <si>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</si>
  <si>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</si>
  <si>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</si>
  <si>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</si>
  <si>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</si>
  <si>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</si>
  <si>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</si>
  <si>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</si>
  <si>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</si>
  <si>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</si>
  <si>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</si>
  <si>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</si>
  <si>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</si>
  <si>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</si>
  <si>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</si>
  <si>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</si>
  <si>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</si>
  <si>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</si>
  <si>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</si>
  <si>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</si>
  <si>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</si>
  <si>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</si>
  <si>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</si>
  <si>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</si>
  <si>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</si>
  <si>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</si>
  <si>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</si>
  <si>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</si>
  <si>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</si>
  <si>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</si>
  <si>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</si>
  <si>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</si>
  <si>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</si>
  <si>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</si>
  <si>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</si>
  <si>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</si>
  <si>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</si>
  <si>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</si>
  <si>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</si>
  <si>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</si>
  <si>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</si>
  <si>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</si>
  <si>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</si>
  <si>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</si>
  <si>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</si>
  <si>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</si>
  <si>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</si>
  <si>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</si>
  <si>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</si>
  <si>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</si>
  <si>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</si>
  <si>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</si>
  <si>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</si>
  <si>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</si>
  <si>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</si>
  <si>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</si>
  <si>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</si>
  <si>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</si>
  <si>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</si>
  <si>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</si>
  <si>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</si>
  <si>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</si>
  <si>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</si>
  <si>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</si>
  <si>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</si>
  <si>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</si>
  <si>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</si>
  <si>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</si>
  <si>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</si>
  <si>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</si>
  <si>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</si>
  <si>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</si>
  <si>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</si>
  <si>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</si>
  <si>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</si>
  <si>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</si>
  <si>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</si>
  <si>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</si>
  <si>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</si>
  <si>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</si>
  <si>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</si>
  <si>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</si>
  <si>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</si>
  <si>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</si>
  <si>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</si>
  <si>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</si>
  <si>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</si>
  <si>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</si>
  <si>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</si>
  <si>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</si>
  <si>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</si>
  <si>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</si>
  <si>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</si>
  <si>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</si>
  <si>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</si>
  <si>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</si>
  <si>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</si>
  <si>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</si>
  <si>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</si>
  <si>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</si>
  <si>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</si>
  <si>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</si>
  <si>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</si>
  <si>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</si>
  <si>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</si>
  <si>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</si>
  <si>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</si>
  <si>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</si>
  <si>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</si>
  <si>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</si>
  <si>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</si>
  <si>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</si>
  <si>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</si>
  <si>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</si>
  <si>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</si>
  <si>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</si>
  <si>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</si>
  <si>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</si>
  <si>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</si>
  <si>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</si>
  <si>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</si>
  <si>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</si>
  <si>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</si>
  <si>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</si>
  <si>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</si>
  <si>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</si>
  <si>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</si>
  <si>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</si>
  <si>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</si>
  <si>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</si>
  <si>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</si>
  <si>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</si>
  <si>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</si>
  <si>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</si>
  <si>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</si>
  <si>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</si>
  <si>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</si>
  <si>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</si>
  <si>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</si>
  <si>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</si>
  <si>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</si>
  <si>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</si>
  <si>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</si>
  <si>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</si>
  <si>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</si>
  <si>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</si>
  <si>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</si>
  <si>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</si>
  <si>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</si>
  <si>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</si>
  <si>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</si>
  <si>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</si>
  <si>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</si>
  <si>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</si>
  <si>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</si>
  <si>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</si>
  <si>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</si>
  <si>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</si>
  <si>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</si>
  <si>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</si>
  <si>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</si>
  <si>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</si>
  <si>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</si>
  <si>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</si>
  <si>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</si>
  <si>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</si>
  <si>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</si>
  <si>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</si>
  <si>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</si>
  <si>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</si>
  <si>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</si>
  <si>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</si>
  <si>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</si>
  <si>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</si>
  <si>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</si>
  <si>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</si>
  <si>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</si>
  <si>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</si>
  <si>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</si>
  <si>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</si>
  <si>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</si>
  <si>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</si>
  <si>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</si>
  <si>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</si>
  <si>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</si>
  <si>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</si>
  <si>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</si>
  <si>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</si>
  <si>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</si>
  <si>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</si>
  <si>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</si>
  <si>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</si>
  <si>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</si>
  <si>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</si>
  <si>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</si>
  <si>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</si>
  <si>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</si>
  <si>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</si>
  <si>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</si>
  <si>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</si>
  <si>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</si>
  <si>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</si>
  <si>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</si>
  <si>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</si>
  <si>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</si>
  <si>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</si>
  <si>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</si>
  <si>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</si>
  <si>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</si>
  <si>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</si>
  <si>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</si>
  <si>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</si>
  <si>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</si>
  <si>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</si>
  <si>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</si>
  <si>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</si>
  <si>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</si>
  <si>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</si>
  <si>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</si>
  <si>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</si>
  <si>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</si>
  <si>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</si>
  <si>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</si>
  <si>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</si>
  <si>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</si>
  <si>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</si>
  <si>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</si>
  <si>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</si>
  <si>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</si>
  <si>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</si>
  <si>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</si>
  <si>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</si>
  <si>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</si>
  <si>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</si>
  <si>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</si>
  <si>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</si>
  <si>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</si>
  <si>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</si>
  <si>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</si>
  <si>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</si>
  <si>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</si>
  <si>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</si>
  <si>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</si>
  <si>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</si>
  <si>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</si>
  <si>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</si>
  <si>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</si>
  <si>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</si>
  <si>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</si>
  <si>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</si>
  <si>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</si>
  <si>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</si>
  <si>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</si>
  <si>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</si>
  <si>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</si>
  <si>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</si>
  <si>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</si>
  <si>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</si>
  <si>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</si>
  <si>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</si>
  <si>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</si>
  <si>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</si>
  <si>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</si>
  <si>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</si>
  <si>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</si>
  <si>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</si>
  <si>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</si>
  <si>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</si>
  <si>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</si>
  <si>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</si>
  <si>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</si>
  <si>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</si>
  <si>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</si>
  <si>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</si>
  <si>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</si>
  <si>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</si>
  <si>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</si>
  <si>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</si>
  <si>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</si>
  <si>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</si>
  <si>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</si>
  <si>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</si>
  <si>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</si>
  <si>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</si>
  <si>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</si>
  <si>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</si>
  <si>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</si>
  <si>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</si>
  <si>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</si>
  <si>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</si>
  <si>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</si>
  <si>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</si>
  <si>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</si>
  <si>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</si>
  <si>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</si>
  <si>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</si>
  <si>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</si>
  <si>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</si>
  <si>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</si>
  <si>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</si>
  <si>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</si>
  <si>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</si>
  <si>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</si>
  <si>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</si>
  <si>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</si>
  <si>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</si>
  <si>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</si>
  <si>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</si>
  <si>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</si>
  <si>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</si>
  <si>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</si>
  <si>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</si>
  <si>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</si>
  <si>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</si>
  <si>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</si>
  <si>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</si>
  <si>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</si>
  <si>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</si>
  <si>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</si>
  <si>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</si>
  <si>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</si>
  <si>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</si>
  <si>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</si>
  <si>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</si>
  <si>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</si>
  <si>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</si>
  <si>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</si>
  <si>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</si>
  <si>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</si>
  <si>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</si>
  <si>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</si>
  <si>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</si>
  <si>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</si>
  <si>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</si>
  <si>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</si>
  <si>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</si>
  <si>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</si>
  <si>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</si>
  <si>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</si>
  <si>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</si>
  <si>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</si>
  <si>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</si>
  <si>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</si>
  <si>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</si>
  <si>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</si>
  <si>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</si>
  <si>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</si>
  <si>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</si>
  <si>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</si>
  <si>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</si>
  <si>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</si>
  <si>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</si>
  <si>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</si>
  <si>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</si>
  <si>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</si>
  <si>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</si>
  <si>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</si>
  <si>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</si>
  <si>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</si>
  <si>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</si>
  <si>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</si>
  <si>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</si>
  <si>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</si>
  <si>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</si>
  <si>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</si>
  <si>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</si>
  <si>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</si>
  <si>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</si>
  <si>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</si>
  <si>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</si>
  <si>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</si>
  <si>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</si>
  <si>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</si>
  <si>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</si>
  <si>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</si>
  <si>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</si>
  <si>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</si>
  <si>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</si>
  <si>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</si>
  <si>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</si>
  <si>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</si>
  <si>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</si>
  <si>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</si>
  <si>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</si>
  <si>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</si>
  <si>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</si>
  <si>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</si>
  <si>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</si>
  <si>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</si>
  <si>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</si>
  <si>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</si>
  <si>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</si>
  <si>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</si>
  <si>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</si>
  <si>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</si>
  <si>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</si>
  <si>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</si>
  <si>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</si>
  <si>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</si>
  <si>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</si>
  <si>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</si>
  <si>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</si>
  <si>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</si>
  <si>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</si>
  <si>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</si>
  <si>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</si>
  <si>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</si>
  <si>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</si>
  <si>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</si>
  <si>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</si>
  <si>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</si>
  <si>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</si>
  <si>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</si>
  <si>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</si>
  <si>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</si>
  <si>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</si>
  <si>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</si>
  <si>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</si>
  <si>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</si>
  <si>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</si>
  <si>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</si>
  <si>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</si>
  <si>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</si>
  <si>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</si>
  <si>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</si>
  <si>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</si>
  <si>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</si>
  <si>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</si>
  <si>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</si>
  <si>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</si>
  <si>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</si>
  <si>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</si>
  <si>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</si>
  <si>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</si>
  <si>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</si>
  <si>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</si>
  <si>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</si>
  <si>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</si>
  <si>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</si>
  <si>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</si>
  <si>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</si>
  <si>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</si>
  <si>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</si>
  <si>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</si>
  <si>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</si>
  <si>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</si>
  <si>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</si>
  <si>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</si>
  <si>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</si>
  <si>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</si>
  <si>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</si>
  <si>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</si>
  <si>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</si>
  <si>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</si>
  <si>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</si>
  <si>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</si>
  <si>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</si>
  <si>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</si>
  <si>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</si>
  <si>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</si>
  <si>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</si>
  <si>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</si>
  <si>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</si>
  <si>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</si>
  <si>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</si>
  <si>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</si>
  <si>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</si>
  <si>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</si>
  <si>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</si>
  <si>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</si>
  <si>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</si>
  <si>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</si>
  <si>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</si>
  <si>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</si>
  <si>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</si>
  <si>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</si>
  <si>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</si>
  <si>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</si>
  <si>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</si>
  <si>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</si>
  <si>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</si>
  <si>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</si>
  <si>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</si>
  <si>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</si>
  <si>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</si>
  <si>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</si>
  <si>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</si>
  <si>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</si>
  <si>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</si>
  <si>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</si>
  <si>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</si>
  <si>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</si>
  <si>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</si>
  <si>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</si>
  <si>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</si>
  <si>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.ca</t>
  </si>
  <si>
    <t>CA</t>
  </si>
  <si>
    <t>Kanada</t>
  </si>
  <si>
    <t xml:space="preserve">Canada </t>
  </si>
  <si>
    <t>Canadá</t>
  </si>
  <si>
    <t>.ch</t>
  </si>
  <si>
    <t>CH</t>
  </si>
  <si>
    <t>Schweiz (Confoederatio Helvetica)</t>
  </si>
  <si>
    <t xml:space="preserve">della Svizzera Svizzera </t>
  </si>
  <si>
    <t xml:space="preserve">Switzerland </t>
  </si>
  <si>
    <t>Suiza</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</si>
  <si>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</si>
  <si>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</si>
  <si>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</si>
  <si>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</si>
  <si>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</si>
  <si>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</si>
  <si>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</si>
  <si>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</si>
  <si>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</si>
  <si>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</si>
  <si>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</si>
  <si>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</si>
  <si>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</si>
  <si>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</si>
  <si>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</si>
  <si>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</si>
  <si>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</si>
  <si>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</si>
  <si>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</si>
  <si>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</si>
  <si>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</si>
  <si>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</si>
  <si>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</si>
  <si>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</si>
  <si>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</si>
  <si>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</si>
  <si>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</si>
  <si>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</si>
  <si>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</si>
  <si>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</si>
  <si>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</si>
  <si>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</si>
  <si>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</si>
  <si>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</si>
  <si>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</si>
  <si>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</si>
  <si>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</si>
  <si>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</si>
  <si>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</si>
  <si>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</si>
  <si>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</si>
  <si>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</si>
  <si>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</si>
  <si>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</si>
  <si>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</si>
  <si>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</si>
  <si>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</si>
  <si>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</si>
  <si>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</si>
  <si>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</si>
  <si>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</si>
  <si>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</si>
  <si>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</si>
  <si>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</si>
  <si>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</si>
  <si>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</si>
  <si>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</si>
  <si>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</si>
  <si>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</si>
  <si>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</si>
  <si>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</si>
  <si>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</si>
  <si>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</si>
  <si>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</si>
  <si>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</si>
  <si>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</si>
  <si>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</si>
  <si>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</si>
  <si>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</si>
  <si>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</si>
  <si>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</si>
  <si>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</si>
  <si>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</si>
  <si>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</si>
  <si>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</si>
  <si>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</si>
  <si>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</si>
  <si>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</si>
  <si>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</si>
  <si>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</si>
  <si>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</si>
  <si>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</si>
  <si>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</si>
  <si>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</si>
  <si>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</si>
  <si>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</si>
  <si>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</si>
  <si>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</si>
  <si>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</si>
  <si>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</si>
  <si>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</si>
  <si>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</si>
  <si>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</si>
  <si>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</si>
  <si>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</si>
  <si>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</si>
  <si>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</si>
  <si>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</si>
  <si>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</si>
  <si>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</si>
  <si>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</si>
  <si>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</si>
  <si>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</si>
  <si>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</si>
  <si>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</si>
  <si>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</si>
  <si>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</si>
  <si>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</si>
  <si>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</si>
  <si>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</si>
  <si>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</si>
  <si>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</si>
  <si>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</si>
  <si>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</si>
  <si>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</si>
  <si>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</si>
  <si>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</si>
  <si>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</si>
  <si>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</si>
  <si>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</si>
  <si>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</si>
  <si>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</si>
  <si>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</si>
  <si>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</si>
  <si>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</si>
  <si>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</si>
  <si>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</si>
  <si>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</si>
  <si>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</si>
  <si>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</si>
  <si>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</si>
  <si>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</si>
  <si>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</si>
  <si>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</si>
  <si>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</si>
  <si>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</si>
  <si>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</si>
  <si>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</si>
  <si>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</si>
  <si>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</si>
  <si>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</si>
  <si>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</si>
  <si>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</si>
  <si>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</si>
  <si>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</si>
  <si>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</si>
  <si>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</si>
  <si>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</si>
  <si>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</si>
  <si>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</si>
  <si>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</si>
  <si>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</si>
  <si>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</si>
  <si>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</si>
  <si>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</si>
  <si>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</si>
  <si>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</si>
  <si>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</si>
  <si>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</si>
  <si>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</si>
  <si>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</si>
  <si>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</si>
  <si>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</si>
  <si>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</si>
  <si>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</si>
  <si>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</si>
  <si>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</si>
  <si>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</si>
  <si>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</si>
  <si>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</si>
  <si>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</si>
  <si>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</si>
  <si>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</si>
  <si>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</si>
  <si>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</si>
  <si>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</si>
  <si>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</si>
  <si>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</si>
  <si>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</si>
  <si>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</si>
  <si>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</si>
  <si>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</si>
  <si>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</si>
  <si>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</si>
  <si>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</si>
  <si>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</si>
  <si>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</si>
  <si>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</si>
  <si>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</si>
  <si>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</si>
  <si>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</si>
  <si>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</si>
  <si>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</si>
  <si>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</si>
  <si>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</si>
  <si>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</si>
  <si>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</si>
  <si>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</si>
  <si>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</si>
  <si>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</si>
  <si>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</si>
  <si>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</si>
  <si>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</si>
  <si>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</si>
  <si>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</si>
  <si>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</si>
  <si>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</si>
  <si>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</si>
  <si>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</si>
  <si>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</si>
  <si>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</si>
  <si>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</si>
  <si>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</si>
  <si>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</si>
  <si>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</si>
  <si>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</si>
  <si>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</si>
  <si>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</si>
  <si>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</si>
  <si>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</si>
  <si>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</si>
  <si>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</si>
  <si>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</si>
  <si>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</si>
  <si>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</si>
  <si>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</si>
  <si>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</si>
  <si>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</si>
  <si>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</si>
  <si>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</si>
  <si>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</si>
  <si>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</si>
  <si>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</si>
  <si>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</si>
  <si>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</si>
  <si>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</si>
  <si>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</si>
  <si>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</si>
  <si>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</si>
  <si>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</si>
  <si>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</si>
  <si>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</si>
  <si>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</si>
  <si>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</si>
  <si>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</si>
  <si>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</si>
  <si>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</si>
  <si>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</si>
  <si>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</si>
  <si>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</si>
  <si>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</si>
  <si>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</si>
  <si>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</si>
  <si>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</si>
  <si>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</si>
  <si>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</si>
  <si>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</si>
  <si>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</si>
  <si>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</si>
  <si>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</si>
  <si>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</si>
  <si>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</si>
  <si>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</si>
  <si>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</si>
  <si>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</si>
  <si>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</si>
  <si>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</si>
  <si>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</si>
  <si>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</si>
  <si>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</si>
  <si>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</si>
  <si>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</si>
  <si>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</si>
  <si>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</si>
  <si>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</si>
  <si>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</si>
  <si>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</si>
  <si>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</si>
  <si>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</si>
  <si>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</si>
  <si>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</si>
  <si>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</si>
  <si>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</si>
  <si>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</si>
  <si>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</si>
  <si>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</si>
  <si>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</si>
  <si>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</si>
  <si>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</si>
  <si>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</si>
  <si>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</si>
  <si>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</si>
  <si>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</si>
  <si>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</si>
  <si>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</si>
  <si>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</si>
  <si>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</si>
  <si>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</si>
  <si>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</si>
  <si>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</si>
  <si>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</si>
  <si>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</si>
  <si>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</si>
  <si>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</si>
  <si>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</si>
  <si>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</si>
  <si>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</si>
  <si>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</si>
  <si>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</si>
  <si>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</si>
  <si>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</si>
  <si>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</si>
  <si>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</si>
  <si>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</si>
  <si>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</si>
  <si>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</si>
  <si>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</si>
  <si>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</si>
  <si>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</si>
  <si>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</si>
  <si>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</si>
  <si>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</si>
  <si>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</si>
  <si>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</si>
  <si>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</si>
  <si>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</si>
  <si>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</si>
  <si>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</si>
  <si>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</si>
  <si>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</si>
  <si>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</si>
  <si>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</si>
  <si>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</si>
  <si>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</si>
  <si>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</si>
  <si>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</si>
  <si>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</si>
  <si>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</si>
  <si>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</si>
  <si>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</si>
  <si>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</si>
  <si>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</si>
  <si>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</si>
  <si>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</si>
  <si>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</si>
  <si>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</si>
  <si>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</si>
  <si>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</si>
  <si>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</si>
  <si>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</si>
  <si>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</si>
  <si>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</si>
  <si>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</si>
  <si>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</si>
  <si>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</si>
  <si>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</si>
  <si>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</si>
  <si>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</si>
  <si>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</si>
  <si>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</si>
  <si>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</si>
  <si>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</si>
  <si>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</si>
  <si>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</si>
  <si>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</si>
  <si>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</si>
  <si>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</si>
  <si>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</si>
  <si>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</si>
  <si>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</si>
  <si>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</si>
  <si>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</si>
  <si>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</si>
  <si>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</si>
  <si>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</si>
  <si>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</si>
  <si>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</si>
  <si>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</si>
  <si>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</si>
  <si>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</si>
  <si>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</si>
  <si>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</si>
  <si>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</si>
  <si>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</si>
  <si>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</si>
  <si>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</si>
  <si>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</si>
  <si>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</si>
  <si>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</si>
  <si>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</si>
  <si>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</si>
  <si>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</si>
  <si>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</si>
  <si>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</si>
  <si>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</si>
  <si>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</si>
  <si>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</si>
  <si>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</si>
  <si>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</si>
  <si>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</si>
  <si>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</si>
  <si>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</si>
  <si>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</si>
  <si>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</si>
  <si>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</si>
  <si>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</si>
  <si>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</si>
  <si>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</si>
  <si>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</si>
  <si>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</si>
  <si>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</si>
  <si>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</si>
  <si>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</si>
  <si>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</si>
  <si>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</si>
  <si>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</si>
  <si>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</si>
  <si>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</si>
  <si>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</si>
  <si>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</si>
  <si>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</si>
  <si>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</si>
  <si>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</si>
  <si>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</si>
  <si>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</si>
  <si>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</si>
  <si>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</si>
  <si>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</si>
  <si>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</si>
  <si>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</si>
  <si>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</si>
  <si>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</si>
  <si>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</si>
  <si>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</si>
  <si>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</si>
  <si>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</si>
  <si>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</si>
  <si>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</si>
  <si>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</si>
  <si>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</si>
  <si>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</si>
  <si>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</si>
  <si>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</si>
  <si>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</si>
  <si>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</si>
  <si>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</si>
  <si>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</si>
  <si>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</si>
  <si>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</si>
  <si>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</si>
  <si>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</si>
  <si>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</si>
  <si>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</si>
  <si>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</si>
  <si>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</si>
  <si>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</si>
  <si>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</si>
  <si>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</si>
  <si>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</si>
  <si>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</si>
  <si>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</si>
  <si>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</si>
  <si>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</si>
  <si>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</si>
  <si>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</si>
  <si>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</si>
  <si>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</si>
  <si>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</si>
  <si>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</si>
  <si>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</si>
  <si>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</si>
  <si>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</si>
  <si>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</si>
  <si>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</si>
  <si>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</si>
  <si>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</si>
  <si>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</si>
  <si>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</si>
  <si>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</si>
  <si>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</si>
  <si>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</si>
  <si>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</si>
  <si>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</si>
  <si>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</si>
  <si>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</si>
  <si>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</si>
  <si>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</si>
  <si>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</si>
  <si>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</si>
  <si>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</si>
  <si>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</si>
  <si>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</si>
  <si>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</si>
  <si>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</si>
  <si>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</si>
  <si>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</si>
  <si>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</si>
  <si>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</si>
  <si>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</si>
  <si>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</si>
  <si>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</si>
  <si>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</si>
  <si>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</si>
  <si>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</si>
  <si>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</si>
  <si>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</si>
  <si>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</si>
  <si>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</si>
  <si>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</si>
  <si>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</si>
  <si>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</si>
  <si>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</si>
  <si>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</si>
  <si>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</si>
  <si>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</si>
  <si>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</si>
  <si>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</si>
  <si>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</si>
  <si>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</si>
  <si>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</si>
  <si>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</si>
  <si>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</si>
  <si>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</si>
  <si>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</si>
  <si>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</si>
  <si>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</si>
  <si>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</si>
  <si>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</si>
  <si>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</si>
  <si>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</si>
  <si>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</si>
  <si>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</si>
  <si>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</si>
  <si>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</si>
  <si>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</si>
  <si>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</si>
  <si>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</si>
  <si>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</si>
  <si>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</si>
  <si>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</si>
  <si>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</si>
  <si>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</si>
  <si>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</si>
  <si>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</si>
  <si>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</si>
  <si>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</si>
  <si>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</si>
  <si>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</si>
  <si>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</si>
  <si>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</si>
  <si>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</si>
  <si>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</si>
  <si>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</si>
  <si>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</si>
  <si>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</si>
  <si>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</si>
  <si>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</si>
  <si>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</si>
  <si>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</si>
  <si>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</si>
  <si>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</si>
  <si>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</si>
  <si>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</si>
  <si>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</si>
  <si>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</si>
  <si>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</si>
  <si>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</si>
  <si>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</si>
  <si>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</si>
  <si>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</si>
  <si>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</si>
  <si>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</si>
  <si>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</si>
  <si>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</si>
  <si>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</si>
  <si>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</si>
  <si>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</si>
  <si>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</si>
  <si>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</si>
  <si>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</si>
  <si>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</si>
  <si>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</si>
  <si>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</si>
  <si>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</si>
  <si>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</si>
  <si>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</si>
  <si>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</si>
  <si>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</si>
  <si>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</si>
  <si>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</si>
  <si>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</si>
  <si>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</si>
  <si>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</si>
  <si>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</si>
  <si>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</si>
  <si>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</si>
  <si>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</si>
  <si>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</si>
  <si>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</si>
  <si>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</si>
  <si>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</si>
  <si>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</si>
  <si>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</si>
  <si>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</si>
  <si>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</si>
  <si>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</si>
  <si>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</si>
  <si>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</si>
  <si>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</si>
  <si>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</si>
  <si>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</si>
  <si>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</si>
  <si>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</si>
  <si>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</si>
  <si>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</si>
  <si>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</si>
  <si>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</si>
  <si>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</si>
  <si>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</si>
  <si>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</si>
  <si>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</si>
  <si>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</si>
  <si>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</si>
  <si>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</si>
  <si>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</si>
  <si>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</si>
  <si>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</si>
  <si>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</si>
  <si>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</si>
  <si>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</si>
  <si>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</si>
  <si>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</si>
  <si>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</si>
  <si>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</si>
  <si>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</si>
  <si>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</si>
  <si>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</si>
  <si>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</si>
  <si>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</si>
  <si>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</si>
  <si>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</si>
  <si>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</si>
  <si>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</si>
  <si>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</si>
  <si>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</si>
  <si>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</si>
  <si>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</si>
  <si>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</si>
  <si>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</si>
  <si>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</si>
  <si>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</si>
  <si>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</si>
  <si>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</si>
  <si>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</si>
  <si>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</si>
  <si>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</si>
  <si>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</si>
  <si>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</si>
  <si>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</si>
  <si>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</si>
  <si>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</si>
  <si>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</si>
  <si>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</si>
  <si>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</si>
  <si>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</si>
  <si>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</si>
  <si>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</si>
  <si>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</si>
  <si>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</si>
  <si>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</si>
  <si>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</si>
  <si>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</si>
  <si>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</si>
  <si>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</si>
  <si>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</si>
  <si>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</si>
  <si>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</si>
  <si>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</si>
  <si>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</si>
  <si>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</si>
  <si>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</si>
  <si>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</si>
  <si>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</si>
  <si>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</si>
  <si>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</si>
  <si>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</si>
  <si>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</si>
  <si>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</si>
  <si>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</si>
  <si>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</si>
  <si>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</si>
  <si>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</si>
  <si>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</si>
  <si>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</si>
  <si>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</si>
  <si>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</si>
  <si>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</si>
  <si>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</si>
  <si>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</si>
  <si>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</si>
  <si>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</si>
  <si>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</si>
  <si>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</si>
  <si>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</si>
  <si>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</si>
  <si>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</si>
  <si>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</si>
  <si>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</si>
  <si>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</si>
  <si>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</si>
  <si>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</si>
  <si>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</si>
  <si>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</si>
  <si>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</si>
  <si>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</si>
  <si>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</si>
  <si>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</si>
  <si>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</si>
  <si>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</si>
  <si>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</si>
  <si>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</si>
  <si>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</si>
  <si>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</si>
  <si>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</si>
  <si>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</si>
  <si>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</si>
  <si>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</si>
  <si>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</si>
  <si>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</si>
  <si>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</si>
  <si>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</si>
  <si>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</si>
  <si>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</si>
  <si>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</si>
  <si>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</si>
  <si>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</si>
  <si>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</si>
  <si>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</si>
  <si>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</si>
  <si>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</si>
  <si>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</si>
  <si>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</si>
  <si>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</si>
  <si>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</si>
  <si>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</si>
  <si>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</si>
  <si>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</si>
  <si>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</si>
  <si>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</si>
  <si>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</si>
  <si>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</si>
  <si>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</si>
  <si>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</si>
  <si>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</si>
  <si>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</si>
  <si>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</si>
  <si>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</si>
  <si>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</si>
  <si>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</si>
  <si>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</si>
  <si>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</si>
  <si>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</si>
  <si>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</si>
  <si>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</si>
  <si>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</si>
  <si>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</si>
  <si>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</si>
  <si>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</si>
  <si>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</si>
  <si>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</si>
  <si>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</si>
  <si>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</si>
  <si>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</si>
  <si>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</si>
  <si>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</si>
  <si>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</si>
  <si>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</si>
  <si>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</si>
  <si>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</si>
  <si>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</si>
  <si>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</si>
  <si>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</si>
  <si>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</si>
  <si>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</si>
  <si>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</si>
  <si>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</si>
  <si>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</si>
  <si>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</si>
  <si>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</si>
  <si>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</si>
  <si>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</si>
  <si>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</si>
  <si>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</si>
  <si>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</si>
  <si>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</si>
  <si>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</si>
  <si>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</si>
  <si>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</si>
  <si>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</si>
  <si>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</si>
  <si>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</si>
  <si>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</si>
  <si>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</si>
  <si>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</si>
  <si>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</si>
  <si>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</si>
  <si>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</si>
  <si>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</si>
  <si>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</si>
  <si>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</si>
  <si>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</si>
  <si>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</si>
  <si>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</si>
  <si>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</si>
  <si>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</si>
  <si>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</si>
  <si>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</si>
  <si>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</si>
  <si>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</si>
  <si>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</si>
  <si>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</si>
  <si>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</si>
  <si>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</si>
  <si>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</si>
  <si>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</si>
  <si>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</si>
  <si>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</si>
  <si>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</si>
  <si>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</si>
  <si>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</si>
  <si>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</si>
  <si>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</si>
  <si>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</si>
  <si>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</si>
  <si>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</si>
  <si>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</si>
  <si>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</si>
  <si>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</si>
  <si>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</si>
  <si>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</si>
  <si>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</si>
  <si>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</si>
  <si>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</si>
  <si>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</si>
  <si>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</si>
  <si>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</si>
  <si>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</si>
  <si>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</si>
  <si>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</si>
  <si>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</si>
  <si>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</si>
  <si>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</si>
  <si>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</si>
  <si>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</si>
  <si>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</si>
  <si>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</si>
  <si>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</si>
  <si>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</si>
  <si>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</si>
  <si>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</si>
  <si>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</si>
  <si>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</si>
  <si>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</si>
  <si>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</si>
  <si>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</si>
  <si>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</si>
  <si>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</si>
  <si>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</si>
  <si>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</si>
  <si>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</si>
  <si>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</si>
  <si>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</si>
  <si>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</si>
  <si>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</si>
  <si>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</si>
  <si>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</si>
  <si>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</si>
  <si>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</si>
  <si>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</si>
  <si>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</si>
  <si>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</si>
  <si>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</si>
  <si>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</si>
  <si>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</si>
  <si>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</si>
  <si>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</si>
  <si>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</si>
  <si>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</si>
  <si>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</si>
  <si>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</si>
  <si>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</si>
  <si>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</si>
  <si>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</si>
  <si>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</si>
  <si>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</si>
  <si>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</si>
  <si>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</si>
  <si>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</si>
  <si>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</si>
  <si>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</si>
  <si>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</si>
  <si>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</si>
  <si>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</si>
  <si>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</si>
  <si>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</si>
  <si>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</si>
  <si>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</si>
  <si>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</si>
  <si>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</si>
  <si>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</si>
  <si>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</si>
  <si>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</si>
  <si>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</si>
  <si>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</si>
  <si>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</si>
  <si>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</si>
  <si>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</si>
  <si>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</si>
  <si>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</si>
  <si>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</si>
  <si>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</si>
  <si>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</si>
  <si>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</si>
  <si>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</si>
  <si>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</si>
  <si>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</si>
  <si>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</si>
  <si>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</si>
  <si>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</si>
  <si>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</si>
  <si>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</si>
  <si>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</si>
  <si>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</si>
  <si>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</si>
  <si>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</si>
  <si>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</si>
  <si>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</si>
  <si>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</si>
  <si>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</si>
  <si>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</si>
  <si>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</si>
  <si>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</si>
  <si>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</si>
  <si>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</si>
  <si>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</si>
  <si>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</si>
  <si>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</si>
  <si>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</si>
  <si>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</si>
  <si>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</si>
  <si>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</si>
  <si>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</si>
  <si>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</si>
  <si>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</si>
  <si>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</si>
  <si>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</si>
  <si>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</si>
  <si>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</si>
  <si>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</si>
  <si>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</si>
  <si>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</si>
  <si>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</si>
  <si>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</si>
  <si>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</si>
  <si>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</si>
  <si>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</si>
  <si>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</si>
  <si>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</si>
  <si>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</si>
  <si>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</si>
  <si>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</si>
  <si>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</si>
  <si>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</si>
  <si>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</si>
  <si>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</si>
  <si>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</si>
  <si>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</si>
  <si>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</si>
  <si>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</si>
  <si>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</si>
  <si>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</si>
  <si>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</si>
  <si>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</si>
  <si>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</si>
  <si>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</si>
  <si>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</si>
  <si>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</si>
  <si>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</si>
  <si>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</si>
  <si>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</si>
  <si>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</si>
  <si>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</si>
  <si>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</si>
  <si>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</si>
  <si>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</si>
  <si>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</si>
  <si>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</si>
  <si>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</si>
  <si>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</si>
  <si>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</si>
  <si>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</si>
  <si>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</si>
  <si>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</si>
  <si>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</si>
  <si>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</si>
  <si>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</si>
  <si>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</si>
  <si>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</si>
  <si>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</si>
  <si>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</si>
  <si>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</si>
  <si>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</si>
  <si>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</si>
  <si>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</si>
  <si>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</si>
  <si>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</si>
  <si>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</si>
  <si>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</si>
  <si>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</si>
  <si>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</si>
  <si>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</si>
  <si>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</si>
  <si>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</si>
  <si>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</si>
  <si>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</si>
  <si>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</si>
  <si>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</si>
  <si>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</si>
  <si>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</si>
  <si>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</si>
  <si>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</si>
  <si>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</si>
  <si>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</si>
  <si>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</si>
  <si>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</si>
  <si>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</si>
  <si>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</si>
  <si>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</si>
  <si>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</si>
  <si>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</si>
  <si>
    <t>Changes</t>
  </si>
  <si>
    <t>5.02</t>
  </si>
  <si>
    <t>5.03</t>
  </si>
  <si>
    <t>5.05</t>
  </si>
  <si>
    <t>Spanish, Italian and English added</t>
  </si>
  <si>
    <t>Add possibility of changing the weighting by stakeholder (not only themes and aspects)</t>
  </si>
  <si>
    <t>Change format of numbers so it works globally. There were some problems in Switzerland</t>
  </si>
  <si>
    <t>All sheets are optimised for printing on A4 format (landscape or portrait).
The height of rows can be adjusted, if you enter more text
The format of the numbers is usually rounded to facilitate the visualization but the numbers are not actually rounded. You may see as an example that an aspect is 1 (actually 1,3) and other 1 (actually 1,4) but the sum is 3 (actually 2,7).</t>
  </si>
  <si>
    <t xml:space="preserve">Todas las hojas están optimizadas para la impresión en formato A4 (apaisado o retrato).
La altura de las filas se puede ajustar, si se introduce más texto
El formato de los números suele estar redondeado para facilitar la visualización, pero los números no están realmente redondeados. Puedes ver como ejemplo que un aspecto es 1 (en realidad 1,3) y otro 1 (en realidad 1,4) pero la suma es 3 (en realidad 2,7).
</t>
  </si>
  <si>
    <t>f)</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</si>
  <si>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</si>
  <si>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Bitte beachten Sie, dass die Zahlenformate in der Matrix gerundet
dargestellt werden</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</si>
  <si>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</si>
  <si>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Attenzione: il format dei numeri nella matrice è arrotondato</t>
  </si>
  <si>
    <t>Please note that the format of the numbers in the matrix is rounded</t>
  </si>
  <si>
    <t>The format of the numbers is usually rounded to facilitate the visualization but the numbers are not actually rounded. You may see for example that an aspect is 1 (real value 1,3) and other 1 (real value 1,4) but the sum of the two aspects is 3 (real value 2,7)</t>
  </si>
  <si>
    <t>Tenga en cuenta que el formato de los números en la matriz está redondeado</t>
  </si>
  <si>
    <t>Nota: esto no es un certificado.</t>
  </si>
  <si>
    <t>Note: This is not a certificate.</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</si>
  <si>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</si>
  <si>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Calculateur du Bilan pour le Bien Commun</t>
  </si>
  <si>
    <t>© Economie pour le Bien Commun</t>
  </si>
  <si>
    <t>Bienvenue!</t>
  </si>
  <si>
    <t>Comment utiliser le calculateur du bilan :</t>
  </si>
  <si>
    <t>1. Généralités</t>
  </si>
  <si>
    <t>Vous pouvez renseigner des informations globales et générales sur votre entreprise ou organisation dans cette rubrique.</t>
  </si>
  <si>
    <t>Tous les champs dans cette rubrique, doivent être complétés, car ils sont essentiels pour la pondération de chaque sujet.</t>
  </si>
  <si>
    <t>Décrivez la situation actuelle et les évolutions potentielles pour améliorer les différents aspects des rubriques clés. Utilisez le guide de l'EBC comme référence. (Ceci est optionnel et pas indispensable pour le calcul.)</t>
  </si>
  <si>
    <t>Basé sur ces descriptions, indiquez sur une échelle de 0 à 10, comment vous pensez avoir atteint les différents critères (niveau de réalisation). Le critère pour choisir la valeur correcte peut être trouvé dans le Guide.</t>
  </si>
  <si>
    <t>Les aspects négatifs donnent droit à des points négatifs, selon la description indiquée dans le Guide.</t>
  </si>
  <si>
    <t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t>
  </si>
  <si>
    <t>Le calcul pondère automatiquement chaque total de chaque thème comparé aux données contenues dans la rubrique : "les détails de l'entreprise" et l'arrondit à un multiple entier de 10%.</t>
  </si>
  <si>
    <t>La matrice EBC propose vos résultats sous forme de tableau</t>
  </si>
  <si>
    <t>Ceci est une description du modèle de pondération</t>
  </si>
  <si>
    <t>Ceci montre la méthode de calcul qui détermine comment les thèmes et parties prenantes sont pondérés.</t>
  </si>
  <si>
    <t>Il s’agit d’une évaluation de la pertinence des chaînes d’approvisionnement et de la durabilité environnementale pour tous les secteurs industriels, utilisés dans la pondération.</t>
  </si>
  <si>
    <t>Il contient des statistiques pour les pays et régions utilisés dans la pondération.</t>
  </si>
  <si>
    <t>2. Détails de l'entreprise</t>
  </si>
  <si>
    <t>3. Score</t>
  </si>
  <si>
    <t>4. Matrice de l'EBC</t>
  </si>
  <si>
    <t>5. Etoile de valeurs</t>
  </si>
  <si>
    <t>6. Etoile de groupe</t>
  </si>
  <si>
    <t>7. Etoile des thèmes</t>
  </si>
  <si>
    <t>8. Description du modèle de pondération</t>
  </si>
  <si>
    <t>9. Pondération (caché)</t>
  </si>
  <si>
    <t>10. Secteurs industriels (caché)</t>
  </si>
  <si>
    <t>11. Pays et régions(caché)</t>
  </si>
  <si>
    <t>Le champ peut être décrit  (cadre en vert, texte en vert foncé)</t>
  </si>
  <si>
    <t>Le champ est en lecture seule (cadre gris, texte en gris foncé)</t>
  </si>
  <si>
    <t>Valeur saisie non valide (pour un calcul correct, changez la valeur)</t>
  </si>
  <si>
    <t>Les valeurs ne sont pas cohérentes</t>
  </si>
  <si>
    <t>oui</t>
  </si>
  <si>
    <t>non</t>
  </si>
  <si>
    <t>Questions concernant la préparation du bilan : beratung@gemeinwohl-oekonomie.org (GWÖ-BeraterInnen);</t>
  </si>
  <si>
    <t>Questions concernant l'audit : audit@gemeinwohl-oekonomie.org (GWÖ-AuditorInnen);</t>
  </si>
  <si>
    <t>Retour d'expériences pour le développement de la matrice : bilanz@ecogood.org (GWÖ-Matrix Entwicklungsteam);</t>
  </si>
  <si>
    <t>Programmation Excel : Christian Loy (christian.loy@gmx.at); Christian Kozina; Multilanguage-tool: Bernhard Oberrauch</t>
  </si>
  <si>
    <t>Toutes les feuilles sont configurées pour une impression en format A4 (paysage ou portrait). La hauteur des colonnes peut être ajustée, si vous aviez besoin de plus de texte.</t>
  </si>
  <si>
    <t>INFORMATIONS GENERALES SUR L'ENTREPRISE</t>
  </si>
  <si>
    <t>Merci de compléter tous les champs</t>
  </si>
  <si>
    <t>Nom de l'entreprise / organisation :</t>
  </si>
  <si>
    <t xml:space="preserve">Adresse : </t>
  </si>
  <si>
    <t xml:space="preserve">Pays : </t>
  </si>
  <si>
    <t>Secteur industriel :</t>
  </si>
  <si>
    <t xml:space="preserve">Site web : </t>
  </si>
  <si>
    <t>Nombre d'employés :</t>
  </si>
  <si>
    <t>entreprise unipersonnelle</t>
  </si>
  <si>
    <t>si oui, les données de calcul concernant les Entreprise individuelles sont automatiquement ajustées</t>
  </si>
  <si>
    <t>Bilan annuel</t>
  </si>
  <si>
    <t xml:space="preserve">Document créé par : </t>
  </si>
  <si>
    <t>Adresse e-mail :</t>
  </si>
  <si>
    <t>Numéro de téléphone :</t>
  </si>
  <si>
    <t xml:space="preserve">Consultant : </t>
  </si>
  <si>
    <t xml:space="preserve">Courte description de l'entreprise / organisation : </t>
  </si>
  <si>
    <t>Autres informations :</t>
  </si>
  <si>
    <t xml:space="preserve">CALCUL DES THEMES pris individuellement </t>
  </si>
  <si>
    <t xml:space="preserve">Entreprise / Organisation </t>
  </si>
  <si>
    <t xml:space="preserve">Année du bilan </t>
  </si>
  <si>
    <t>CALCUL DES ASPECTS INDIVIDUELS</t>
  </si>
  <si>
    <t>Total score bilan :</t>
  </si>
  <si>
    <t>Parties prenantes</t>
  </si>
  <si>
    <t>Parties prenantes/thèmes/aspects</t>
  </si>
  <si>
    <t xml:space="preserve">Pondération </t>
  </si>
  <si>
    <t>Très haut</t>
  </si>
  <si>
    <t>Haut</t>
  </si>
  <si>
    <t>Moyen</t>
  </si>
  <si>
    <t>Faible</t>
  </si>
  <si>
    <t>non concerné</t>
  </si>
  <si>
    <t>Explication</t>
  </si>
  <si>
    <t>Potentiel d'amélioration</t>
  </si>
  <si>
    <t>Estimation</t>
  </si>
  <si>
    <t>Parties prenantes/Thèmes/Aspects</t>
  </si>
  <si>
    <t>Les fournisseurs</t>
  </si>
  <si>
    <t>Dignité humaine dans la chaîne d'approvisionnement</t>
  </si>
  <si>
    <t>Conditions de travail et impacts ou conséquences sociales dans la chaîne d’approvisionnement</t>
  </si>
  <si>
    <t>Aspect négatif : Violation de la dignité humaine dans la chaîne d'approvisionnement</t>
  </si>
  <si>
    <t>Solidarité et équité dans la chaîne d'approvisionnement</t>
  </si>
  <si>
    <t>Relations commerciales équitables avec les fournisseurs directs</t>
  </si>
  <si>
    <t>Influence positive sur la solidarité et l'équité tout au long de la chaîne d'approvisionnement</t>
  </si>
  <si>
    <t>Aspect négatif : Exploiter le pouvoir de marché vis-à-vis des fournisseurs</t>
  </si>
  <si>
    <t>Durabilité écologique dans la chaîne d'approvisionnement</t>
  </si>
  <si>
    <t>Impacts environnementaux dans la chaîne d'approvisionnement</t>
  </si>
  <si>
    <t>Aspect négatif : Impact environnemental disproportionné dans la chaîne d'approvisionnement</t>
  </si>
  <si>
    <t>Transparence et co-décision dans la chaîne d'approvisionnement</t>
  </si>
  <si>
    <t>Droits à la transparence et à la co-décision pour les fournisseurs</t>
  </si>
  <si>
    <t>Influence positive sur la transparence et la co-décision tout au long de la chaîne d'approvisionnement</t>
  </si>
  <si>
    <t>Les propriétaires et partenaires financiers</t>
  </si>
  <si>
    <t>Attitude éthique face aux financements</t>
  </si>
  <si>
    <t>Indépendance financière grâce à l'autofinancement</t>
  </si>
  <si>
    <t>Financement par emprunt orienté bien commun</t>
  </si>
  <si>
    <t>Attitude éthique des partenaires financiers externes</t>
  </si>
  <si>
    <t>Attitude sociale face aux financements</t>
  </si>
  <si>
    <t>Utilisation solidaire et orientée bien commun des financements</t>
  </si>
  <si>
    <t>Aspect négatif : Répartition non équitable des fonds</t>
  </si>
  <si>
    <t>Investissement et utilisation socio-écologique des fonds financiers</t>
  </si>
  <si>
    <t>Qualité écologique des investissements</t>
  </si>
  <si>
    <t>Investissement orienté volontairement bien commun</t>
  </si>
  <si>
    <t>Aspect négatif : Dépendance à l'égard de ressources écologiquement discutables</t>
  </si>
  <si>
    <t>Propriété des capitaux et co-décision</t>
  </si>
  <si>
    <t>Structure de propriété orientée ECB</t>
  </si>
  <si>
    <t>Aspect négatif : Prise de contrôle hostile</t>
  </si>
  <si>
    <t>Les salariés</t>
  </si>
  <si>
    <t>Dignité humaine au travail</t>
  </si>
  <si>
    <t>Culture d'entreprise orientée salariés</t>
  </si>
  <si>
    <t>Promotion de la santé et sécurité au travail</t>
  </si>
  <si>
    <t>Diversité et égalité des chances</t>
  </si>
  <si>
    <t>Aspect négatif : Conditions de travail indignes</t>
  </si>
  <si>
    <t>Gestion des contrats de travail</t>
  </si>
  <si>
    <t>Les salaires et revenus</t>
  </si>
  <si>
    <t>Organisation du temps de travail</t>
  </si>
  <si>
    <t>Structure de la relation au travail et équilibre entre vie professionnelle et vie privée</t>
  </si>
  <si>
    <t>Aspect négatif : Injustices ou inéquités dans la gestion des contrats de travail</t>
  </si>
  <si>
    <t>Promotion du comportement environnemental des salariés</t>
  </si>
  <si>
    <t>Alimentation pendant les heures de travail</t>
  </si>
  <si>
    <t>Mobilité sur le lieu de travail</t>
  </si>
  <si>
    <t>Culture organisationnelle, sensibilisation à la conception ou la mise en œuvre de processus écologiques</t>
  </si>
  <si>
    <t>Aspect négatif : Indications sur le gaspillage / la tolérance du comportement non-écologique</t>
  </si>
  <si>
    <t>Co-décision interne et transparence</t>
  </si>
  <si>
    <t>Transparence interne</t>
  </si>
  <si>
    <t>Légitimité des gestionnaires ou de l’encadrement</t>
  </si>
  <si>
    <t>Codécision des salariés</t>
  </si>
  <si>
    <t>Aspect négatif : Frein au fonctionnement des instances représentatives du personnel (comité d'entreprise)</t>
  </si>
  <si>
    <t>Les clients et entreprises partenaires</t>
  </si>
  <si>
    <t>Relations éthiques avec les clients</t>
  </si>
  <si>
    <t>Communication décente et digne avec les clients</t>
  </si>
  <si>
    <t>Accessibilité</t>
  </si>
  <si>
    <t>Aspect négatif : Publicité contraire à l'éthique</t>
  </si>
  <si>
    <t>Coopération et solidarité avec les autres entreprises partenaires</t>
  </si>
  <si>
    <t>Coopération avec des entreprises partenaires</t>
  </si>
  <si>
    <t>Solidarité avec les entreprises partenaires</t>
  </si>
  <si>
    <t>Aspect négatif : Abus de pouvoir de marché vis-à-vis des entreprises partenaires</t>
  </si>
  <si>
    <t>Impact écologique par l'utilisation et l'élimination de produits et services</t>
  </si>
  <si>
    <t>Rapport coût-bénéfice écologique des produits et services (efficacité et cohérence)</t>
  </si>
  <si>
    <t>Utilisation modérée des produits et services (suffisance)</t>
  </si>
  <si>
    <t>Aspect négatif : Acceptation consciente d'effets écologiques disproportionnés</t>
  </si>
  <si>
    <t>Implication et participation du client et transparence du produit</t>
  </si>
  <si>
    <t>Participation des clients, développement conjoint de produits et des études de marché</t>
  </si>
  <si>
    <t>Transparence des produits</t>
  </si>
  <si>
    <t>Aspect négatif : Pas d'identification des substances dangereuses</t>
  </si>
  <si>
    <t>Environnement social</t>
  </si>
  <si>
    <t>Sens et impact social des produits et services</t>
  </si>
  <si>
    <t>Les produits et services couvrent les besoins de base et contribuent à rendre la vie saine et simple</t>
  </si>
  <si>
    <t>Impact social des produits et services</t>
  </si>
  <si>
    <t>Aspect négatif : Produits et services indignes</t>
  </si>
  <si>
    <t>Contribution à la communauté, au collectif, au bien commun</t>
  </si>
  <si>
    <t>Impôts et cotisations sociales</t>
  </si>
  <si>
    <t>Contributions volontaires à la construction communautaire ou au bien commun</t>
  </si>
  <si>
    <t>Aspect négatif : Évasion fiscale illégitime</t>
  </si>
  <si>
    <t>Aspect négatif : Manque de prévention de la corruption</t>
  </si>
  <si>
    <t>Réduction des impacts écologiques</t>
  </si>
  <si>
    <t>Impact absolu / Gestion et stratégie</t>
  </si>
  <si>
    <t>Effets relatifs</t>
  </si>
  <si>
    <t>Aspect négatif : Violations des réglementations environnementales et impact environnemental inapproprié</t>
  </si>
  <si>
    <t>Transparence et co-décision sociale</t>
  </si>
  <si>
    <t>Transparence</t>
  </si>
  <si>
    <t>Co-décision sociale</t>
  </si>
  <si>
    <t>Aspect négatif : Promotion délibérée de la non-transparence et de la désinformation</t>
  </si>
  <si>
    <t>Détails sur l'entreprise</t>
  </si>
  <si>
    <t>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t>
  </si>
  <si>
    <t>Remplir s'il vous plaît</t>
  </si>
  <si>
    <t>Choisir s'il vous plaît</t>
  </si>
  <si>
    <t>Description du modèle de pondération</t>
  </si>
  <si>
    <t>Sujets</t>
  </si>
  <si>
    <t>Parties prenantes et valeurs</t>
  </si>
  <si>
    <t>Général</t>
  </si>
  <si>
    <t xml:space="preserve">Echelonné pour les entreprises individuelles ou unipersonnelles </t>
  </si>
  <si>
    <t>Non pertinent pour les entreprises individuelles ou unipersonelles</t>
  </si>
  <si>
    <t>Notez bien : Ce n'est pas un certificat</t>
  </si>
  <si>
    <t>points</t>
  </si>
  <si>
    <t>Dignité humaine</t>
  </si>
  <si>
    <t>Solidarité &amp; équité sociale</t>
  </si>
  <si>
    <t>Durabilité écologique</t>
  </si>
  <si>
    <t>Transparence &amp; co-décision</t>
  </si>
  <si>
    <t>APERÇU DU BILAN</t>
  </si>
  <si>
    <t>TRANSPARENCE &amp; CO-DECISION</t>
  </si>
  <si>
    <t>DIGNITÉ HUMAINE</t>
  </si>
  <si>
    <t>SOLIDARITÉ</t>
  </si>
  <si>
    <t>DURABILITÉ ÉCOLOGIQUE</t>
  </si>
  <si>
    <t>EQUITE SOCIALE</t>
  </si>
  <si>
    <t>Documentation de l'évaluation</t>
  </si>
  <si>
    <t>Auto-évaluation</t>
  </si>
  <si>
    <t>Evaluation par des pairs</t>
  </si>
  <si>
    <t>Evaluation provisoire de l'audit externe</t>
  </si>
  <si>
    <t>évaluation définitive  de l'audit externe ou du groupe de pairs</t>
  </si>
  <si>
    <t>Mot de passe pour la protection de la feuille Excel "ebc"</t>
  </si>
  <si>
    <t>Pondération modifiée. Original</t>
  </si>
  <si>
    <t xml:space="preserve">Etoile de valeurs pour </t>
  </si>
  <si>
    <t>Etoile de groupes pour</t>
  </si>
  <si>
    <t xml:space="preserve">Etoile de thèmes pour </t>
  </si>
  <si>
    <t>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t>
  </si>
  <si>
    <t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t>
  </si>
  <si>
    <t>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t>
  </si>
  <si>
    <t>La pondération de ce sujet dépend des risques sociaux des branches et secteurs de fournisseurs</t>
  </si>
  <si>
    <t>La pondération de ce sujet dépend des impacts environnementaux de la branche ou du secteur des fournisseurs (voir la partie "industrie")</t>
  </si>
  <si>
    <t>La pondération de ce sujet dépend des droits de co-décision dans les pays des industries d'approvisionnement les plus importantes (sur la base de l’indice ILUC de l’Union Internationale du Travail).</t>
  </si>
  <si>
    <t>La pondération de ce thème dépend du ratio du chiffre d’affaires par rapport au total du bilan.</t>
  </si>
  <si>
    <t>La pondération de ce thème dépend du ratio profit/chiffre d’affaires</t>
  </si>
  <si>
    <t>La pondération de ce thème dépend des ajouts aux immobilisations et aux actifs financiers par rapport au total du bilan.</t>
  </si>
  <si>
    <t>La pondération de ce sujet dépend de la taille de l'entreprise</t>
  </si>
  <si>
    <t>La pondération de ce thème dépend de l’existence d’une cantine pour la plupart des collaborateurs ainsi que d’une moyenne (estimée) des déplacements au travail.</t>
  </si>
  <si>
    <t>La pondération de ce thème dépend de la taille des entreprises et des droits de co-décision dans les pays des industries les plus importantes (sur la base de l’indice ILUC de l’Union Internationale du Travail).</t>
  </si>
  <si>
    <t>La pondération de ce sujet dépend du secteur ou de la branche industriel.</t>
  </si>
  <si>
    <t>La pondération de ce thème dépend si les clients sont principalement des individus ou des entreprises.</t>
  </si>
  <si>
    <t>La pondération de ce thème dépend de la rentabilité des ventes (profit/chiffre d’affaires).</t>
  </si>
  <si>
    <t>La pondération de ce sujet dépend de la taille de l'entreprise et du secteur industriel.</t>
  </si>
  <si>
    <t>A - Agriculture, gestion forestière, industrie de la pêche</t>
  </si>
  <si>
    <t>B - Exploitation minière et de carrières (industries extractives)</t>
  </si>
  <si>
    <t>C - Industries manufacturières (sans autre spécification)</t>
  </si>
  <si>
    <t>Ca - Production alimentaire, boissons et tabac (C10, C11, C12)</t>
  </si>
  <si>
    <t>Cb - Production textile, d'habillement, cuir et produits à base de cuir (C13, C14, C15)</t>
  </si>
  <si>
    <t>Cc - Papier et produits forestier, ainsi que les matières imprimées (C16, C17, C18)</t>
  </si>
  <si>
    <t>Cd - Production de produits issus de l'industrie pétrochimique et plastiques (C19, C20, C21)</t>
  </si>
  <si>
    <t>Ce - Produits pharmaceuthiques et préparations (C21)</t>
  </si>
  <si>
    <t>Cf - Production de minéraux non métalliques (C23)</t>
  </si>
  <si>
    <t>Cg - Production de métal et produits métalliques (sauf machines et équipements) (C24, C25)</t>
  </si>
  <si>
    <t>Ch - Production d'équipements, instruments et composants électroniques, ainsi que les ordinateurs (C26, C27, C28)</t>
  </si>
  <si>
    <t>D - approvisonnement en Électricité, gaz, vapeur et réfrigération</t>
  </si>
  <si>
    <t>E - Distribution d'eau, gestion des déchêts</t>
  </si>
  <si>
    <t>F - Industrie de construction</t>
  </si>
  <si>
    <t>G - Grossistes et détaillants</t>
  </si>
  <si>
    <t>H - Transport et stockage</t>
  </si>
  <si>
    <t>I - Hébergement et restauration</t>
  </si>
  <si>
    <t>J - Information et communication</t>
  </si>
  <si>
    <t>K - Services financiers</t>
  </si>
  <si>
    <t>L - Immobilier</t>
  </si>
  <si>
    <t>M - Services techniques et scientifiques par des indépendants</t>
  </si>
  <si>
    <t>N - Services administratif et de support</t>
  </si>
  <si>
    <t>O - Administration publique ; défense ; sécurité sociale</t>
  </si>
  <si>
    <t>P - Education formation</t>
  </si>
  <si>
    <t>Q - Santé et travail social</t>
  </si>
  <si>
    <t>R - Art, éducation et loisirs</t>
  </si>
  <si>
    <t>S - Autres services</t>
  </si>
  <si>
    <t>T - Secteur privé / particuliers</t>
  </si>
  <si>
    <t xml:space="preserve">U - Organisations et organismes extra-territoriaux </t>
  </si>
  <si>
    <t>Total des achats par les fournisseurs (en Euros) :</t>
  </si>
  <si>
    <t xml:space="preserve">Entrer les 5 secteurs principaux secteurs ou branches industriels de produits et de services que vous utilisez. </t>
  </si>
  <si>
    <t>Secteur ou branche industriel</t>
  </si>
  <si>
    <t>Région d'origine</t>
  </si>
  <si>
    <t>Coûts</t>
  </si>
  <si>
    <t>Origine principales des autres fournisseurs</t>
  </si>
  <si>
    <t>Bénéfice</t>
  </si>
  <si>
    <t>Coûts financiers</t>
  </si>
  <si>
    <t>Revenu d'investissements financiers</t>
  </si>
  <si>
    <t>Total des actifs</t>
  </si>
  <si>
    <t>Acquisitions d' immobilisations</t>
  </si>
  <si>
    <t>Actifs financiers et solde de trésorerie</t>
  </si>
  <si>
    <t>Nombre d'employés (équivalent temps plein)</t>
  </si>
  <si>
    <t>Coût du travail (brut sans la contribution de l'employeur)</t>
  </si>
  <si>
    <t>Entrer les 3 principaux pays où se trouve la plus grande proportions d'employés</t>
  </si>
  <si>
    <t>Pays et Région</t>
  </si>
  <si>
    <t>nombre en %</t>
  </si>
  <si>
    <t>itinéraire moyen pour se rendre au travail (km)</t>
  </si>
  <si>
    <t>Y-a-t-il une cantine pour la majorité des employés ?</t>
  </si>
  <si>
    <t>Chiffre d'affaire (en Euros)</t>
  </si>
  <si>
    <t>Vos clients sont-ils majoritairement d'autres entreprises ?</t>
  </si>
  <si>
    <t>Entrer les 3 principaux secteurs industriels avec lesquels votre entreprise est active, incluant une part importante du chiffre d'affaire, même approximative</t>
  </si>
  <si>
    <t>% Montant du chiffre d'affaire total</t>
  </si>
  <si>
    <t>Taille de l'entreprise</t>
  </si>
  <si>
    <t>Micro entreprise</t>
  </si>
  <si>
    <t>Petite entreprise</t>
  </si>
  <si>
    <t>Moyenne entreprise</t>
  </si>
  <si>
    <t>Grande entreprise</t>
  </si>
  <si>
    <t>Cette feuille de calcul est utilisée pour élaborer le bilan du Bien commun</t>
  </si>
  <si>
    <t>Introduire la valeur entre 0 et 10</t>
  </si>
  <si>
    <t>Introduire les points négatifs entre 0 et -200</t>
  </si>
  <si>
    <t>Moyenne globale</t>
  </si>
  <si>
    <t xml:space="preserve">Afrique </t>
  </si>
  <si>
    <t>Afrique du Nord et Moyen-Orient</t>
  </si>
  <si>
    <t>Amérique Latine</t>
  </si>
  <si>
    <t>Amérique du Nord &amp; Océanie</t>
  </si>
  <si>
    <t>Asie</t>
  </si>
  <si>
    <t>République Centrafricaine</t>
  </si>
  <si>
    <t>Suisse (confédération helvétique)</t>
  </si>
  <si>
    <t>Afrique en général</t>
  </si>
  <si>
    <t>Asie en général</t>
  </si>
  <si>
    <t>Europe en général</t>
  </si>
  <si>
    <t>Océanie en général</t>
  </si>
  <si>
    <t>Le Monde en général</t>
  </si>
  <si>
    <t>Origine prédominante des fournisseurs restants</t>
  </si>
  <si>
    <t>Cet outil sert à calculer le total des points de l'EBC pour votre entreprise ou organisation. Il complète le rapport de l'Economie pour le Bien Commun et doit être utiliser en lien avec le rapport. Bonne chance pour vos calculs !</t>
  </si>
  <si>
    <t xml:space="preserve">Pour chaque thème (A1, B1, …) un nombre maximum de Points pour le Bien Commun peuvent être atteints. Pour évaluer combien de points votre entreprise a cumulé, suivez ces étapes : </t>
  </si>
  <si>
    <t>L'étoile des valeurs affiche vos résultats en les disposant par valeur comme un graphique.</t>
  </si>
  <si>
    <t>L' étoile groupe affiche vos résultats en les disposant par partie prenante comme un graphique.</t>
  </si>
  <si>
    <t>L'étoile des thèmes affiche les résultats de vos rubriques comme un graphique.</t>
  </si>
  <si>
    <t>Contenus : MDT (ECG-Matrix Development Team)</t>
  </si>
  <si>
    <t>Calculateur du bilan de l'Economie pour le Bien Commun</t>
  </si>
  <si>
    <t>Valeurs ►
Parties prenantes ▼</t>
  </si>
  <si>
    <t>MATRICE DE L'ECONOMIE POUR LE BIEN COMMUN</t>
  </si>
  <si>
    <t>Etoile pour le Bien Commun</t>
  </si>
  <si>
    <t>Update ITUC index and PPP index for weighting
Delete rounding in some formulas. The rounding should be visible but the number stays so that the calculations are not affected. Info added about the rounding.
French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</si>
</sst>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s>
  <fonts count="93">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
      <sz val="11"/>
      <color rgb="FF333333"/>
      <name val="Arial"/>
      <family val="2"/>
    </font>
    <font>
      <sz val="11"/>
      <color rgb="FF99CC00"/>
      <name val="Arial"/>
      <family val="2"/>
    </font>
    <font>
      <sz val="10"/>
      <color indexed="50"/>
      <name val="Arial"/>
      <family val="2"/>
    </font>
  </fonts>
  <fills count="23">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49"/>
        <bgColor indexed="11"/>
      </patternFill>
    </fill>
    <fill>
      <patternFill patternType="solid">
        <fgColor rgb="FF99CC00"/>
        <bgColor indexed="26"/>
      </patternFill>
    </fill>
    <fill>
      <patternFill patternType="solid">
        <fgColor rgb="FF99CC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4" fillId="0" borderId="0" applyFill="0" applyBorder="0" applyAlignment="0" applyProtection="0"/>
    <xf numFmtId="0" fontId="84" fillId="0" borderId="0"/>
    <xf numFmtId="0" fontId="11" fillId="8" borderId="1" applyNumberFormat="0" applyAlignment="0" applyProtection="0"/>
    <xf numFmtId="164" fontId="84" fillId="0" borderId="0" applyFill="0" applyBorder="0" applyAlignment="0" applyProtection="0"/>
    <xf numFmtId="0" fontId="85" fillId="0" borderId="0"/>
    <xf numFmtId="0" fontId="84" fillId="0" borderId="0" applyNumberFormat="0" applyFill="0" applyBorder="0" applyAlignment="0" applyProtection="0"/>
    <xf numFmtId="0" fontId="84" fillId="0" borderId="0" applyNumberFormat="0" applyFill="0" applyBorder="0" applyAlignment="0" applyProtection="0"/>
    <xf numFmtId="0" fontId="4" fillId="0" borderId="0" applyNumberFormat="0" applyFill="0" applyBorder="0" applyAlignment="0" applyProtection="0"/>
  </cellStyleXfs>
  <cellXfs count="627">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165" fontId="21" fillId="9" borderId="7" xfId="0" applyNumberFormat="1" applyFont="1" applyFill="1" applyBorder="1" applyAlignment="1" applyProtection="1">
      <alignment horizontal="center" vertical="center"/>
      <protection locked="0"/>
    </xf>
    <xf numFmtId="164" fontId="33" fillId="9" borderId="7" xfId="0" applyNumberFormat="1" applyFont="1" applyFill="1" applyBorder="1" applyAlignment="1" applyProtection="1">
      <alignment horizontal="center" vertical="center"/>
      <protection locked="0"/>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protection locked="0"/>
    </xf>
    <xf numFmtId="165" fontId="21" fillId="9" borderId="3" xfId="0" applyNumberFormat="1" applyFont="1" applyFill="1" applyBorder="1" applyAlignment="1" applyProtection="1">
      <alignment horizontal="center" vertical="center"/>
      <protection locked="0"/>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4"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4"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4"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2" fillId="11" borderId="52" xfId="0" applyFont="1" applyFill="1" applyBorder="1" applyAlignment="1" applyProtection="1">
      <alignment horizontal="right" vertical="center" wrapText="1" indent="1"/>
    </xf>
    <xf numFmtId="1" fontId="64" fillId="12" borderId="53" xfId="0" applyNumberFormat="1" applyFont="1" applyFill="1" applyBorder="1" applyAlignment="1" applyProtection="1">
      <alignment horizontal="right" vertical="center"/>
    </xf>
    <xf numFmtId="0" fontId="64" fillId="12" borderId="8" xfId="0" applyFont="1" applyFill="1" applyBorder="1" applyAlignment="1" applyProtection="1">
      <alignment horizontal="center" vertical="center"/>
    </xf>
    <xf numFmtId="1" fontId="64"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5" fillId="9" borderId="0" xfId="0" applyFont="1" applyFill="1" applyAlignment="1">
      <alignment horizontal="left" vertical="center"/>
    </xf>
    <xf numFmtId="1" fontId="65" fillId="9" borderId="0" xfId="0" applyNumberFormat="1" applyFont="1" applyFill="1" applyBorder="1" applyAlignment="1">
      <alignment horizontal="center" vertical="center"/>
    </xf>
    <xf numFmtId="0" fontId="66"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7" fillId="9" borderId="0" xfId="0" applyFont="1" applyFill="1" applyBorder="1" applyAlignment="1">
      <alignment vertical="center"/>
    </xf>
    <xf numFmtId="0" fontId="68"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7" fillId="9" borderId="58" xfId="0" applyFont="1" applyFill="1" applyBorder="1" applyAlignment="1">
      <alignment horizontal="left" vertical="center"/>
    </xf>
    <xf numFmtId="0" fontId="27" fillId="9" borderId="58" xfId="0" applyFont="1" applyFill="1" applyBorder="1" applyAlignment="1">
      <alignment vertical="center" wrapText="1"/>
    </xf>
    <xf numFmtId="0" fontId="67" fillId="9" borderId="0" xfId="0" applyFont="1" applyFill="1" applyBorder="1" applyAlignment="1">
      <alignment horizontal="left" vertical="center"/>
    </xf>
    <xf numFmtId="0" fontId="27" fillId="9" borderId="0" xfId="0" applyFont="1" applyFill="1" applyBorder="1" applyAlignment="1">
      <alignment vertical="center" wrapText="1"/>
    </xf>
    <xf numFmtId="0" fontId="67" fillId="9" borderId="59" xfId="0" applyFont="1" applyFill="1" applyBorder="1" applyAlignment="1">
      <alignment horizontal="right" vertical="center"/>
    </xf>
    <xf numFmtId="0" fontId="67" fillId="9" borderId="60" xfId="0" applyFont="1" applyFill="1" applyBorder="1" applyAlignment="1">
      <alignment horizontal="right" vertical="center"/>
    </xf>
    <xf numFmtId="0" fontId="67" fillId="9" borderId="60" xfId="0" applyFont="1" applyFill="1" applyBorder="1" applyAlignment="1">
      <alignment horizontal="right" vertical="center" wrapText="1"/>
    </xf>
    <xf numFmtId="0" fontId="67"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69" fillId="11" borderId="13" xfId="0" applyFont="1" applyFill="1" applyBorder="1" applyAlignment="1">
      <alignment vertical="center" wrapText="1"/>
    </xf>
    <xf numFmtId="0" fontId="70" fillId="11" borderId="0" xfId="0" applyFont="1" applyFill="1" applyBorder="1" applyAlignment="1">
      <alignment vertical="center" wrapText="1"/>
    </xf>
    <xf numFmtId="0" fontId="69" fillId="11" borderId="30" xfId="0" applyFont="1" applyFill="1" applyBorder="1" applyAlignment="1">
      <alignment vertical="center" wrapText="1"/>
    </xf>
    <xf numFmtId="0" fontId="69" fillId="11" borderId="31" xfId="0" applyFont="1" applyFill="1" applyBorder="1" applyAlignment="1">
      <alignment vertical="center" wrapText="1"/>
    </xf>
    <xf numFmtId="0" fontId="72" fillId="0" borderId="30" xfId="0" applyFont="1" applyBorder="1" applyAlignment="1">
      <alignment horizontal="center" vertical="center" wrapText="1"/>
    </xf>
    <xf numFmtId="0" fontId="73" fillId="0" borderId="35" xfId="0" applyFont="1" applyBorder="1" applyAlignment="1">
      <alignment vertical="center" wrapText="1"/>
    </xf>
    <xf numFmtId="0" fontId="72" fillId="0" borderId="30" xfId="0" applyFont="1" applyBorder="1" applyAlignment="1">
      <alignment vertical="center" wrapText="1"/>
    </xf>
    <xf numFmtId="0" fontId="72" fillId="0" borderId="31" xfId="0" applyFont="1" applyBorder="1" applyAlignment="1">
      <alignment vertical="center" wrapText="1"/>
    </xf>
    <xf numFmtId="3" fontId="72" fillId="12" borderId="30" xfId="0" applyNumberFormat="1" applyFont="1" applyFill="1" applyBorder="1" applyAlignment="1" applyProtection="1">
      <alignment horizontal="center" vertical="center" wrapText="1"/>
    </xf>
    <xf numFmtId="3" fontId="72" fillId="12" borderId="35" xfId="0" applyNumberFormat="1" applyFont="1" applyFill="1" applyBorder="1" applyAlignment="1" applyProtection="1">
      <alignment horizontal="center" vertical="center" wrapText="1"/>
    </xf>
    <xf numFmtId="3" fontId="72"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2" fillId="0" borderId="36" xfId="0" applyFont="1" applyFill="1" applyBorder="1" applyAlignment="1">
      <alignment horizontal="center" vertical="center" wrapText="1"/>
    </xf>
    <xf numFmtId="0" fontId="73" fillId="0" borderId="63" xfId="0" applyFont="1" applyFill="1" applyBorder="1" applyAlignment="1">
      <alignment vertical="center" wrapText="1"/>
    </xf>
    <xf numFmtId="0" fontId="69" fillId="11" borderId="64" xfId="0" applyFont="1" applyFill="1" applyBorder="1" applyAlignment="1">
      <alignment vertical="center" wrapText="1"/>
    </xf>
    <xf numFmtId="0" fontId="69" fillId="11" borderId="65" xfId="0" applyFont="1" applyFill="1" applyBorder="1" applyAlignment="1">
      <alignment vertical="center" wrapText="1"/>
    </xf>
    <xf numFmtId="0" fontId="73" fillId="0" borderId="64" xfId="0" applyFont="1" applyBorder="1" applyAlignment="1">
      <alignment horizontal="center" vertical="center" wrapText="1"/>
    </xf>
    <xf numFmtId="0" fontId="73" fillId="0" borderId="66" xfId="0" applyFont="1" applyBorder="1" applyAlignment="1">
      <alignment vertical="center" wrapText="1"/>
    </xf>
    <xf numFmtId="0" fontId="73" fillId="0" borderId="64" xfId="0" applyFont="1" applyBorder="1" applyAlignment="1">
      <alignment vertical="center" wrapText="1"/>
    </xf>
    <xf numFmtId="0" fontId="73" fillId="0" borderId="65" xfId="0" applyFont="1" applyBorder="1" applyAlignment="1">
      <alignment vertical="center" wrapText="1"/>
    </xf>
    <xf numFmtId="3" fontId="73" fillId="12" borderId="66" xfId="0" applyNumberFormat="1" applyFont="1" applyFill="1" applyBorder="1" applyAlignment="1" applyProtection="1">
      <alignment horizontal="center" vertical="center" wrapText="1"/>
    </xf>
    <xf numFmtId="3" fontId="73" fillId="12" borderId="65" xfId="0" applyNumberFormat="1" applyFont="1" applyFill="1" applyBorder="1" applyAlignment="1" applyProtection="1">
      <alignment horizontal="center" vertical="center" wrapText="1"/>
    </xf>
    <xf numFmtId="3" fontId="72" fillId="12" borderId="66" xfId="0" applyNumberFormat="1" applyFont="1" applyFill="1" applyBorder="1" applyAlignment="1" applyProtection="1">
      <alignment horizontal="center" vertical="center" wrapText="1"/>
    </xf>
    <xf numFmtId="0" fontId="73" fillId="0" borderId="36" xfId="0" applyFont="1" applyFill="1" applyBorder="1" applyAlignment="1">
      <alignment vertical="center" wrapText="1"/>
    </xf>
    <xf numFmtId="0" fontId="69" fillId="11" borderId="67" xfId="0" applyFont="1" applyFill="1" applyBorder="1" applyAlignment="1">
      <alignment vertical="center" wrapText="1"/>
    </xf>
    <xf numFmtId="0" fontId="73" fillId="0" borderId="67" xfId="0" applyFont="1" applyBorder="1" applyAlignment="1">
      <alignment horizontal="center" vertical="center" wrapText="1"/>
    </xf>
    <xf numFmtId="0" fontId="73" fillId="0" borderId="68" xfId="0" applyFont="1" applyBorder="1" applyAlignment="1">
      <alignment vertical="center" wrapText="1"/>
    </xf>
    <xf numFmtId="0" fontId="73" fillId="0" borderId="67" xfId="0" applyFont="1" applyBorder="1" applyAlignment="1">
      <alignment vertical="center" wrapText="1"/>
    </xf>
    <xf numFmtId="0" fontId="73" fillId="0" borderId="69" xfId="0" applyFont="1" applyBorder="1" applyAlignment="1">
      <alignment vertical="center" wrapText="1"/>
    </xf>
    <xf numFmtId="3" fontId="73" fillId="12" borderId="67" xfId="0" applyNumberFormat="1" applyFont="1" applyFill="1" applyBorder="1" applyAlignment="1" applyProtection="1">
      <alignment horizontal="center" vertical="center" wrapText="1"/>
    </xf>
    <xf numFmtId="3" fontId="72" fillId="12" borderId="68" xfId="0" applyNumberFormat="1" applyFont="1" applyFill="1" applyBorder="1" applyAlignment="1" applyProtection="1">
      <alignment horizontal="center" vertical="center" wrapText="1"/>
    </xf>
    <xf numFmtId="3" fontId="73" fillId="12" borderId="69" xfId="0" applyNumberFormat="1" applyFont="1" applyFill="1" applyBorder="1" applyAlignment="1" applyProtection="1">
      <alignment horizontal="center" vertical="center" wrapText="1"/>
    </xf>
    <xf numFmtId="0" fontId="73" fillId="0" borderId="70" xfId="0" applyFont="1" applyBorder="1" applyAlignment="1">
      <alignment vertical="center" wrapText="1"/>
    </xf>
    <xf numFmtId="0" fontId="73" fillId="0" borderId="71" xfId="0" applyFont="1" applyBorder="1" applyAlignment="1">
      <alignment vertical="center" wrapText="1"/>
    </xf>
    <xf numFmtId="0" fontId="73" fillId="0" borderId="72" xfId="0" applyFont="1" applyBorder="1" applyAlignment="1">
      <alignment vertical="center" wrapText="1"/>
    </xf>
    <xf numFmtId="0" fontId="73" fillId="0" borderId="14" xfId="0" applyFont="1" applyBorder="1" applyAlignment="1">
      <alignment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3" fontId="73" fillId="12" borderId="68" xfId="0" applyNumberFormat="1" applyFont="1" applyFill="1" applyBorder="1" applyAlignment="1" applyProtection="1">
      <alignment horizontal="center" vertical="center" wrapText="1"/>
    </xf>
    <xf numFmtId="0" fontId="73" fillId="0" borderId="73" xfId="0" applyFont="1" applyBorder="1" applyAlignment="1">
      <alignment vertical="center" wrapText="1"/>
    </xf>
    <xf numFmtId="0" fontId="73" fillId="0" borderId="74" xfId="0" applyFont="1" applyBorder="1" applyAlignment="1">
      <alignment vertical="center" wrapText="1"/>
    </xf>
    <xf numFmtId="0" fontId="73" fillId="0" borderId="75" xfId="0" applyFont="1" applyBorder="1" applyAlignment="1">
      <alignment vertical="center" wrapText="1"/>
    </xf>
    <xf numFmtId="0" fontId="73" fillId="0" borderId="76" xfId="0" applyFont="1" applyBorder="1" applyAlignment="1">
      <alignment vertical="center" wrapText="1"/>
    </xf>
    <xf numFmtId="0" fontId="27" fillId="0" borderId="77" xfId="0" applyFont="1" applyFill="1" applyBorder="1" applyAlignment="1">
      <alignment vertical="center" wrapText="1"/>
    </xf>
    <xf numFmtId="0" fontId="73" fillId="0" borderId="40" xfId="0" applyFont="1" applyFill="1" applyBorder="1" applyAlignment="1">
      <alignment vertical="center" wrapText="1"/>
    </xf>
    <xf numFmtId="0" fontId="27" fillId="0" borderId="78" xfId="0" applyFont="1" applyFill="1" applyBorder="1" applyAlignment="1">
      <alignment vertical="center" wrapText="1"/>
    </xf>
    <xf numFmtId="0" fontId="69"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1"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69" fillId="12" borderId="80" xfId="0" applyFont="1" applyFill="1" applyBorder="1" applyAlignment="1" applyProtection="1">
      <alignment horizontal="left" vertical="center" wrapText="1"/>
    </xf>
    <xf numFmtId="0" fontId="69" fillId="12" borderId="80" xfId="0" applyFont="1" applyFill="1" applyBorder="1" applyAlignment="1" applyProtection="1">
      <alignment horizontal="center" vertical="center" wrapText="1"/>
    </xf>
    <xf numFmtId="0" fontId="69" fillId="12" borderId="81" xfId="0" applyFont="1" applyFill="1" applyBorder="1" applyAlignment="1" applyProtection="1">
      <alignment horizontal="center" vertical="center" wrapText="1"/>
    </xf>
    <xf numFmtId="0" fontId="69" fillId="12" borderId="82" xfId="0" applyFont="1" applyFill="1" applyBorder="1" applyAlignment="1" applyProtection="1">
      <alignment horizontal="center" vertical="center" wrapText="1"/>
    </xf>
    <xf numFmtId="0" fontId="69" fillId="12" borderId="83" xfId="0" applyFont="1" applyFill="1" applyBorder="1" applyAlignment="1" applyProtection="1">
      <alignment horizontal="center" vertical="center" wrapText="1"/>
    </xf>
    <xf numFmtId="0" fontId="69" fillId="12" borderId="84" xfId="0" applyFont="1" applyFill="1" applyBorder="1" applyAlignment="1" applyProtection="1">
      <alignment horizontal="center" vertical="center" wrapText="1"/>
    </xf>
    <xf numFmtId="0" fontId="69" fillId="12" borderId="85" xfId="0" applyFont="1" applyFill="1" applyBorder="1" applyAlignment="1" applyProtection="1">
      <alignment horizontal="center" vertical="center" wrapText="1"/>
    </xf>
    <xf numFmtId="3" fontId="71" fillId="12" borderId="86" xfId="0" applyNumberFormat="1" applyFont="1" applyFill="1" applyBorder="1" applyAlignment="1" applyProtection="1">
      <alignment horizontal="center" vertical="center" wrapText="1"/>
    </xf>
    <xf numFmtId="3" fontId="71" fillId="12" borderId="16" xfId="0" applyNumberFormat="1" applyFont="1" applyFill="1" applyBorder="1" applyAlignment="1" applyProtection="1">
      <alignment horizontal="center" vertical="center" wrapText="1"/>
    </xf>
    <xf numFmtId="4" fontId="71" fillId="0" borderId="87" xfId="0" applyNumberFormat="1" applyFont="1" applyFill="1" applyBorder="1" applyAlignment="1" applyProtection="1">
      <alignment horizontal="center" vertical="center" wrapText="1"/>
    </xf>
    <xf numFmtId="3" fontId="71" fillId="0" borderId="80"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69" fillId="12" borderId="81" xfId="0" applyFont="1" applyFill="1" applyBorder="1" applyAlignment="1" applyProtection="1">
      <alignment horizontal="left" vertical="center" wrapText="1"/>
    </xf>
    <xf numFmtId="3" fontId="71" fillId="12" borderId="22" xfId="0" applyNumberFormat="1" applyFont="1" applyFill="1" applyBorder="1" applyAlignment="1" applyProtection="1">
      <alignment horizontal="center" vertical="center" wrapText="1"/>
    </xf>
    <xf numFmtId="3" fontId="71"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69" fillId="0" borderId="0" xfId="0" applyFont="1" applyFill="1" applyBorder="1" applyAlignment="1" applyProtection="1">
      <alignment horizontal="left" vertical="center" wrapText="1"/>
    </xf>
    <xf numFmtId="3" fontId="71" fillId="0" borderId="0" xfId="0" applyNumberFormat="1" applyFont="1" applyFill="1" applyBorder="1" applyAlignment="1" applyProtection="1">
      <alignment horizontal="center" vertical="center" wrapText="1"/>
    </xf>
    <xf numFmtId="4" fontId="71" fillId="0" borderId="0" xfId="0" applyNumberFormat="1" applyFont="1" applyFill="1" applyBorder="1" applyAlignment="1" applyProtection="1">
      <alignment horizontal="center" vertical="center" wrapText="1"/>
    </xf>
    <xf numFmtId="0" fontId="71" fillId="0" borderId="88" xfId="0" applyFont="1" applyFill="1" applyBorder="1"/>
    <xf numFmtId="0" fontId="69" fillId="12" borderId="89" xfId="0" applyFont="1" applyFill="1" applyBorder="1" applyAlignment="1" applyProtection="1">
      <alignment horizontal="left" vertical="center" wrapText="1"/>
    </xf>
    <xf numFmtId="3" fontId="71" fillId="12" borderId="89" xfId="0" applyNumberFormat="1" applyFont="1" applyFill="1" applyBorder="1" applyAlignment="1" applyProtection="1">
      <alignment horizontal="center" vertical="center" wrapText="1"/>
    </xf>
    <xf numFmtId="164" fontId="71" fillId="12" borderId="90" xfId="16" applyFont="1" applyFill="1" applyBorder="1" applyAlignment="1" applyProtection="1">
      <alignment horizontal="center" vertical="center" wrapText="1"/>
    </xf>
    <xf numFmtId="3" fontId="71" fillId="12" borderId="50" xfId="0" applyNumberFormat="1" applyFont="1" applyFill="1" applyBorder="1" applyAlignment="1" applyProtection="1">
      <alignment horizontal="center" vertical="center" wrapText="1"/>
    </xf>
    <xf numFmtId="3" fontId="71" fillId="0" borderId="89" xfId="0" applyNumberFormat="1" applyFont="1" applyFill="1" applyBorder="1" applyAlignment="1" applyProtection="1">
      <alignment horizontal="center" vertical="center" wrapText="1"/>
    </xf>
    <xf numFmtId="164" fontId="27" fillId="0" borderId="0" xfId="0" applyNumberFormat="1" applyFont="1"/>
    <xf numFmtId="0" fontId="69" fillId="12" borderId="0" xfId="0" applyFont="1" applyFill="1" applyBorder="1" applyAlignment="1" applyProtection="1">
      <alignment horizontal="left" vertical="center" wrapText="1"/>
    </xf>
    <xf numFmtId="3" fontId="71" fillId="12" borderId="0" xfId="0" applyNumberFormat="1" applyFont="1" applyFill="1" applyBorder="1" applyAlignment="1" applyProtection="1">
      <alignment horizontal="center" vertical="center" wrapText="1"/>
    </xf>
    <xf numFmtId="164" fontId="71" fillId="12" borderId="0" xfId="16" applyFont="1" applyFill="1" applyBorder="1" applyAlignment="1" applyProtection="1">
      <alignment horizontal="center" vertical="center" wrapText="1"/>
    </xf>
    <xf numFmtId="0" fontId="27" fillId="16" borderId="0" xfId="0" applyFont="1" applyFill="1"/>
    <xf numFmtId="0" fontId="70" fillId="11" borderId="0" xfId="0" applyFont="1" applyFill="1" applyAlignment="1"/>
    <xf numFmtId="0" fontId="69" fillId="11" borderId="0" xfId="0" applyFont="1" applyFill="1"/>
    <xf numFmtId="0" fontId="69" fillId="11" borderId="0" xfId="0" applyFont="1" applyFill="1" applyAlignment="1">
      <alignment horizontal="center"/>
    </xf>
    <xf numFmtId="14" fontId="69" fillId="11" borderId="0" xfId="0" applyNumberFormat="1" applyFont="1" applyFill="1"/>
    <xf numFmtId="0" fontId="69" fillId="11" borderId="0" xfId="12" applyNumberFormat="1" applyFont="1" applyFill="1" applyBorder="1" applyAlignment="1" applyProtection="1"/>
    <xf numFmtId="0" fontId="17" fillId="11" borderId="0" xfId="12" applyNumberFormat="1" applyFill="1" applyBorder="1" applyAlignment="1" applyProtection="1"/>
    <xf numFmtId="0" fontId="76" fillId="0" borderId="0" xfId="0" applyFont="1"/>
    <xf numFmtId="3" fontId="76" fillId="0" borderId="0" xfId="0" applyNumberFormat="1" applyFont="1"/>
    <xf numFmtId="0" fontId="38" fillId="0" borderId="0" xfId="0" applyFont="1"/>
    <xf numFmtId="0" fontId="71" fillId="0" borderId="0" xfId="0" applyFont="1" applyAlignment="1">
      <alignment horizontal="center"/>
    </xf>
    <xf numFmtId="0" fontId="71" fillId="0" borderId="0" xfId="0" applyFont="1"/>
    <xf numFmtId="171" fontId="38" fillId="0" borderId="0" xfId="0" applyNumberFormat="1" applyFont="1"/>
    <xf numFmtId="0" fontId="27" fillId="0" borderId="0" xfId="0" applyFont="1" applyFill="1" applyAlignment="1">
      <alignment horizontal="center"/>
    </xf>
    <xf numFmtId="0" fontId="71"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1" fillId="0" borderId="0" xfId="0" applyNumberFormat="1" applyFont="1"/>
    <xf numFmtId="2" fontId="71"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3" fontId="47" fillId="9" borderId="27" xfId="0" applyNumberFormat="1" applyFont="1" applyFill="1" applyBorder="1" applyAlignment="1" applyProtection="1">
      <alignment horizontal="left" vertical="center" wrapText="1"/>
    </xf>
    <xf numFmtId="0" fontId="17" fillId="9" borderId="3" xfId="12" applyFill="1" applyBorder="1" applyAlignment="1" applyProtection="1">
      <alignment horizontal="left" vertical="center" indent="1"/>
      <protection locked="0"/>
    </xf>
    <xf numFmtId="0" fontId="86" fillId="0" borderId="0" xfId="0" applyFont="1" applyAlignment="1" applyProtection="1">
      <alignment vertical="center"/>
    </xf>
    <xf numFmtId="0" fontId="87"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7"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5"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0" fillId="0" borderId="0" xfId="0" applyFont="1" applyProtection="1"/>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3" fillId="19" borderId="91" xfId="0" applyFont="1" applyFill="1" applyBorder="1" applyAlignment="1" applyProtection="1">
      <alignment wrapText="1"/>
    </xf>
    <xf numFmtId="0" fontId="0" fillId="15" borderId="91" xfId="0" applyFont="1" applyFill="1" applyBorder="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0" borderId="91"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19"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65"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79" fillId="0" borderId="91" xfId="0" applyFont="1" applyBorder="1" applyAlignment="1" applyProtection="1">
      <alignment wrapText="1"/>
    </xf>
    <xf numFmtId="0" fontId="77" fillId="0" borderId="80" xfId="0" applyFont="1" applyBorder="1" applyAlignment="1" applyProtection="1">
      <alignment wrapText="1"/>
    </xf>
    <xf numFmtId="0" fontId="67"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7"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7"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7"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7"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0" fillId="9" borderId="60" xfId="0" applyFont="1" applyFill="1" applyBorder="1" applyAlignment="1" applyProtection="1">
      <alignment vertical="center" wrapText="1"/>
    </xf>
    <xf numFmtId="0" fontId="81" fillId="9" borderId="60" xfId="0" applyFont="1" applyFill="1" applyBorder="1" applyAlignment="1" applyProtection="1">
      <alignment vertical="center" wrapText="1"/>
    </xf>
    <xf numFmtId="0" fontId="67"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2" fillId="0" borderId="0" xfId="0" applyFont="1" applyAlignment="1" applyProtection="1">
      <alignment horizontal="left" vertical="center" indent="1"/>
    </xf>
    <xf numFmtId="0" fontId="27" fillId="10" borderId="0" xfId="0" applyFont="1" applyFill="1" applyAlignment="1" applyProtection="1">
      <alignment horizontal="left"/>
    </xf>
    <xf numFmtId="49" fontId="83"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3" fontId="73" fillId="12" borderId="30" xfId="0" applyNumberFormat="1" applyFont="1" applyFill="1" applyBorder="1" applyAlignment="1" applyProtection="1">
      <alignment horizontal="center" vertical="center" wrapText="1"/>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164" fontId="89" fillId="0" borderId="0" xfId="16" applyFont="1" applyFill="1" applyBorder="1" applyAlignment="1" applyProtection="1">
      <alignment vertical="center"/>
    </xf>
    <xf numFmtId="0" fontId="13" fillId="9" borderId="0" xfId="0" applyFont="1" applyFill="1" applyBorder="1" applyAlignment="1">
      <alignment horizontal="center" vertical="top"/>
    </xf>
    <xf numFmtId="0" fontId="16" fillId="9" borderId="0" xfId="0" applyFont="1" applyFill="1" applyBorder="1" applyAlignment="1">
      <alignment horizontal="center" vertical="center"/>
    </xf>
    <xf numFmtId="0" fontId="37" fillId="12" borderId="3" xfId="0" applyFont="1" applyFill="1" applyBorder="1" applyAlignment="1">
      <alignment horizontal="center" vertical="center"/>
    </xf>
    <xf numFmtId="0" fontId="38" fillId="0" borderId="3" xfId="0" applyFont="1" applyBorder="1" applyAlignment="1" applyProtection="1">
      <alignment horizontal="center" vertical="center"/>
    </xf>
    <xf numFmtId="1" fontId="0" fillId="0" borderId="0" xfId="0" applyNumberFormat="1" applyFill="1" applyAlignment="1">
      <alignment vertical="center"/>
    </xf>
    <xf numFmtId="0" fontId="0" fillId="0" borderId="0" xfId="0" applyFill="1" applyAlignment="1">
      <alignment horizontal="center" vertical="center"/>
    </xf>
    <xf numFmtId="165" fontId="22" fillId="12" borderId="3" xfId="0" applyNumberFormat="1" applyFont="1" applyFill="1" applyBorder="1" applyAlignment="1" applyProtection="1">
      <alignment horizontal="center" vertical="center"/>
      <protection locked="0"/>
    </xf>
    <xf numFmtId="0" fontId="90" fillId="0" borderId="0" xfId="0" applyFont="1"/>
    <xf numFmtId="0" fontId="90" fillId="0" borderId="0" xfId="0" applyFont="1" applyAlignment="1">
      <alignment vertical="center"/>
    </xf>
    <xf numFmtId="0" fontId="90" fillId="22" borderId="112" xfId="0" applyFont="1" applyFill="1" applyBorder="1" applyAlignment="1">
      <alignment vertical="center"/>
    </xf>
    <xf numFmtId="0" fontId="90" fillId="22" borderId="113" xfId="0" applyFont="1" applyFill="1" applyBorder="1" applyAlignment="1">
      <alignment vertical="center"/>
    </xf>
    <xf numFmtId="0" fontId="90" fillId="0" borderId="112" xfId="0" applyFont="1" applyBorder="1" applyAlignment="1">
      <alignment vertical="center"/>
    </xf>
    <xf numFmtId="0" fontId="90" fillId="0" borderId="113" xfId="0" applyFont="1" applyBorder="1" applyAlignment="1">
      <alignment vertical="center"/>
    </xf>
    <xf numFmtId="0" fontId="90" fillId="0" borderId="113" xfId="0" applyFont="1" applyBorder="1" applyAlignment="1">
      <alignment vertical="center" wrapText="1"/>
    </xf>
    <xf numFmtId="0" fontId="38" fillId="0" borderId="0" xfId="0" applyNumberFormat="1" applyFont="1"/>
    <xf numFmtId="165" fontId="16" fillId="9" borderId="56" xfId="0" applyNumberFormat="1" applyFont="1" applyFill="1" applyBorder="1" applyAlignment="1">
      <alignment horizontal="right" vertical="center"/>
    </xf>
    <xf numFmtId="165" fontId="35" fillId="9" borderId="8" xfId="0" applyNumberFormat="1" applyFont="1" applyFill="1" applyBorder="1" applyAlignment="1">
      <alignment horizontal="center" vertical="center"/>
    </xf>
    <xf numFmtId="0" fontId="91" fillId="0" borderId="0" xfId="0" applyFont="1" applyFill="1" applyBorder="1" applyAlignment="1" applyProtection="1">
      <alignment vertical="center"/>
    </xf>
    <xf numFmtId="0" fontId="88" fillId="21" borderId="110" xfId="0" applyFont="1" applyFill="1" applyBorder="1" applyAlignment="1" applyProtection="1">
      <alignment horizontal="left" vertical="center"/>
      <protection locked="0"/>
    </xf>
    <xf numFmtId="0" fontId="88" fillId="21" borderId="111" xfId="0" applyFont="1" applyFill="1" applyBorder="1" applyAlignment="1" applyProtection="1">
      <alignment horizontal="left" vertical="center"/>
      <protection locked="0"/>
    </xf>
    <xf numFmtId="0" fontId="13" fillId="9" borderId="0" xfId="0" applyFont="1" applyFill="1" applyBorder="1" applyAlignment="1" applyProtection="1"/>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top" wrapText="1"/>
    </xf>
    <xf numFmtId="0" fontId="18" fillId="9" borderId="0" xfId="12" applyNumberFormat="1" applyFont="1" applyFill="1" applyBorder="1" applyAlignment="1" applyProtection="1">
      <alignment horizontal="left" vertical="top" wrapText="1"/>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2" xfId="0" applyFont="1" applyFill="1" applyBorder="1" applyAlignment="1">
      <alignment horizontal="left" vertical="center" indent="1"/>
    </xf>
    <xf numFmtId="164" fontId="14" fillId="9" borderId="93" xfId="0" applyNumberFormat="1" applyFont="1" applyFill="1" applyBorder="1" applyAlignment="1">
      <alignment horizontal="center" vertical="center"/>
    </xf>
    <xf numFmtId="1" fontId="14" fillId="9" borderId="93"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2" fillId="9" borderId="8" xfId="0" applyFont="1" applyFill="1" applyBorder="1" applyAlignment="1">
      <alignment horizontal="left" vertical="center"/>
    </xf>
    <xf numFmtId="164" fontId="22" fillId="11" borderId="94" xfId="0" applyNumberFormat="1" applyFont="1" applyFill="1" applyBorder="1" applyAlignment="1">
      <alignment horizontal="center" vertical="center"/>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5" fillId="12" borderId="95" xfId="0" applyFont="1" applyFill="1" applyBorder="1" applyAlignment="1" applyProtection="1">
      <alignment horizontal="center" vertical="center" wrapText="1"/>
    </xf>
    <xf numFmtId="0" fontId="47" fillId="13" borderId="95" xfId="0" applyFont="1" applyFill="1" applyBorder="1" applyAlignment="1" applyProtection="1">
      <alignment horizontal="center" vertical="center" textRotation="90" wrapText="1"/>
    </xf>
    <xf numFmtId="1" fontId="47" fillId="13" borderId="95" xfId="0" applyNumberFormat="1" applyFont="1" applyFill="1" applyBorder="1" applyAlignment="1" applyProtection="1">
      <alignment horizontal="center" vertical="center" textRotation="90" wrapText="1"/>
    </xf>
    <xf numFmtId="0" fontId="53" fillId="14" borderId="96" xfId="0" applyFont="1" applyFill="1" applyBorder="1" applyAlignment="1" applyProtection="1">
      <alignment horizontal="center" vertical="center" wrapText="1"/>
    </xf>
    <xf numFmtId="0" fontId="53" fillId="14" borderId="97" xfId="0" applyFont="1" applyFill="1" applyBorder="1" applyAlignment="1" applyProtection="1">
      <alignment horizontal="center" vertical="center" wrapText="1"/>
    </xf>
    <xf numFmtId="0" fontId="53" fillId="14" borderId="98"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1" fillId="12" borderId="36"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53" fillId="12" borderId="19" xfId="0" applyFont="1" applyFill="1" applyBorder="1" applyAlignment="1" applyProtection="1">
      <alignment horizontal="center" vertical="center" wrapText="1"/>
    </xf>
    <xf numFmtId="0" fontId="49" fillId="14" borderId="31" xfId="0" applyFont="1" applyFill="1" applyBorder="1" applyAlignment="1" applyProtection="1">
      <alignment horizontal="right" vertical="center" wrapText="1"/>
    </xf>
    <xf numFmtId="0" fontId="49" fillId="14" borderId="99" xfId="0" applyFont="1" applyFill="1" applyBorder="1" applyAlignment="1" applyProtection="1">
      <alignment horizontal="right" vertical="center" wrapText="1"/>
    </xf>
    <xf numFmtId="0" fontId="53" fillId="12" borderId="96" xfId="0" applyFont="1" applyFill="1" applyBorder="1" applyAlignment="1" applyProtection="1">
      <alignment horizontal="center" vertical="center" wrapText="1"/>
    </xf>
    <xf numFmtId="0" fontId="53" fillId="12" borderId="97"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92" fillId="9" borderId="0" xfId="0" applyFont="1" applyFill="1" applyBorder="1" applyAlignment="1" applyProtection="1">
      <alignment horizontal="right" vertical="center"/>
    </xf>
    <xf numFmtId="0" fontId="61" fillId="9" borderId="0" xfId="0" applyFont="1" applyFill="1" applyBorder="1" applyAlignment="1" applyProtection="1">
      <alignment horizontal="left" vertical="top"/>
    </xf>
    <xf numFmtId="0" fontId="14" fillId="9" borderId="100"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1" xfId="0" applyNumberFormat="1" applyFont="1" applyFill="1" applyBorder="1" applyAlignment="1" applyProtection="1">
      <alignment horizontal="left" vertical="center"/>
    </xf>
    <xf numFmtId="0" fontId="27" fillId="9" borderId="2" xfId="0" applyFont="1" applyFill="1" applyBorder="1" applyAlignment="1" applyProtection="1">
      <alignment horizontal="right" vertical="top"/>
    </xf>
    <xf numFmtId="0" fontId="63" fillId="11" borderId="6" xfId="0" applyFont="1" applyFill="1" applyBorder="1" applyAlignment="1" applyProtection="1">
      <alignment horizontal="center" vertical="center" wrapText="1"/>
    </xf>
    <xf numFmtId="0" fontId="63" fillId="11" borderId="102" xfId="0" applyFont="1" applyFill="1" applyBorder="1" applyAlignment="1" applyProtection="1">
      <alignment horizontal="center" vertical="center" wrapText="1"/>
    </xf>
    <xf numFmtId="0" fontId="63" fillId="12" borderId="103" xfId="0" applyFont="1" applyFill="1" applyBorder="1" applyAlignment="1" applyProtection="1">
      <alignment horizontal="center" vertical="center" wrapText="1"/>
    </xf>
    <xf numFmtId="0" fontId="64" fillId="9" borderId="103" xfId="14" applyFont="1" applyFill="1" applyBorder="1" applyAlignment="1" applyProtection="1">
      <alignment horizontal="left" vertical="center" wrapText="1" indent="1"/>
    </xf>
    <xf numFmtId="0" fontId="63" fillId="12" borderId="104" xfId="0" applyFont="1" applyFill="1" applyBorder="1" applyAlignment="1" applyProtection="1">
      <alignment horizontal="center" vertical="center" wrapText="1"/>
    </xf>
    <xf numFmtId="0" fontId="63" fillId="12" borderId="102" xfId="0" applyFont="1" applyFill="1" applyBorder="1" applyAlignment="1" applyProtection="1">
      <alignment horizontal="center" vertical="center" wrapText="1"/>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5"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3" fillId="11" borderId="13" xfId="0" applyFont="1" applyFill="1" applyBorder="1" applyAlignment="1">
      <alignment horizontal="center" vertical="center" wrapText="1"/>
    </xf>
    <xf numFmtId="0" fontId="71" fillId="0" borderId="105" xfId="0" applyFont="1" applyBorder="1" applyAlignment="1">
      <alignment horizontal="center" vertical="center" wrapText="1"/>
    </xf>
    <xf numFmtId="3" fontId="71" fillId="0" borderId="105" xfId="0" applyNumberFormat="1" applyFont="1" applyFill="1" applyBorder="1" applyAlignment="1" applyProtection="1">
      <alignment horizontal="center" vertical="center" wrapText="1"/>
    </xf>
    <xf numFmtId="3" fontId="71" fillId="12" borderId="12" xfId="0" applyNumberFormat="1" applyFont="1" applyFill="1" applyBorder="1" applyAlignment="1" applyProtection="1">
      <alignment horizontal="center" vertical="center" wrapText="1"/>
    </xf>
    <xf numFmtId="3" fontId="71" fillId="12" borderId="105" xfId="0" applyNumberFormat="1" applyFont="1" applyFill="1" applyBorder="1" applyAlignment="1" applyProtection="1">
      <alignment horizontal="center" vertical="center" wrapText="1"/>
    </xf>
    <xf numFmtId="3" fontId="71" fillId="12" borderId="106" xfId="0" applyNumberFormat="1" applyFont="1" applyFill="1" applyBorder="1" applyAlignment="1" applyProtection="1">
      <alignment horizontal="center" vertical="center" wrapText="1"/>
    </xf>
    <xf numFmtId="0" fontId="71" fillId="0" borderId="107" xfId="0" applyFont="1" applyFill="1" applyBorder="1" applyAlignment="1">
      <alignment horizontal="center" vertical="center" wrapText="1"/>
    </xf>
    <xf numFmtId="0" fontId="71" fillId="0" borderId="5" xfId="0" applyFont="1" applyBorder="1" applyAlignment="1">
      <alignment horizontal="center"/>
    </xf>
    <xf numFmtId="0" fontId="69" fillId="12" borderId="108" xfId="0" applyFont="1" applyFill="1" applyBorder="1" applyAlignment="1" applyProtection="1">
      <alignment horizontal="center" vertical="center" wrapText="1"/>
    </xf>
    <xf numFmtId="0" fontId="69" fillId="12" borderId="12" xfId="0" applyFont="1" applyFill="1" applyBorder="1" applyAlignment="1" applyProtection="1">
      <alignment horizontal="center" vertical="center" wrapText="1"/>
    </xf>
    <xf numFmtId="3" fontId="71" fillId="12" borderId="109"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0" fontId="75"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Komma" xfId="13" builtinId="3"/>
    <cellStyle name="Link" xfId="12" builtinId="8"/>
    <cellStyle name="Normal_4. Bilanz Testat" xfId="14" xr:uid="{00000000-0005-0000-0000-00000E000000}"/>
    <cellStyle name="Note 1" xfId="15" xr:uid="{00000000-0005-0000-0000-00000F000000}"/>
    <cellStyle name="Prozent" xfId="16" builtinId="5"/>
    <cellStyle name="Standard" xfId="0" builtinId="0"/>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33"/>
      <color rgb="FF80808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Menschenwürde</c:v>
                </c:pt>
                <c:pt idx="1">
                  <c:v>Solidarität &amp; Gerechtigkeit</c:v>
                </c:pt>
                <c:pt idx="2">
                  <c:v>Ökologische Nachhaltigkeit</c:v>
                </c:pt>
                <c:pt idx="3">
                  <c:v>Transparenz &amp; Mitentscheidung</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Lieferant*innen</c:v>
                </c:pt>
                <c:pt idx="1">
                  <c:v>Eigentümer*innen und Finanzpartner*innen</c:v>
                </c:pt>
                <c:pt idx="2">
                  <c:v>Mitarbeitende</c:v>
                </c:pt>
                <c:pt idx="3">
                  <c:v>Kund*nnen und Mitunternehmen</c:v>
                </c:pt>
                <c:pt idx="4">
                  <c:v>Gesellschaftliches Umfeld</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6.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2"/>
  <sheetViews>
    <sheetView showGridLines="0" tabSelected="1" zoomScale="75" zoomScaleNormal="75" workbookViewId="0">
      <selection activeCell="B1" sqref="B1:C1"/>
    </sheetView>
  </sheetViews>
  <sheetFormatPr baseColWidth="10" defaultColWidth="10.6640625" defaultRowHeight="12.75" customHeight="1"/>
  <cols>
    <col min="1" max="1" width="2.6640625" style="1" customWidth="1"/>
    <col min="2" max="2" width="11" style="1" customWidth="1"/>
    <col min="3" max="3" width="17.88671875" style="1" customWidth="1"/>
    <col min="4" max="4" width="66.88671875" style="1" customWidth="1"/>
    <col min="5" max="12" width="10.6640625" style="1"/>
    <col min="13" max="13" width="10.6640625" style="1" hidden="1" customWidth="1"/>
    <col min="14" max="16384" width="10.6640625" style="1"/>
  </cols>
  <sheetData>
    <row r="1" spans="1:13" ht="29.25" customHeight="1">
      <c r="A1" s="2"/>
      <c r="B1" s="529" t="s">
        <v>686</v>
      </c>
      <c r="C1" s="530"/>
      <c r="D1"/>
    </row>
    <row r="2" spans="1:13" ht="41.25" customHeight="1">
      <c r="A2" s="2"/>
      <c r="B2" s="531" t="str">
        <f>'12.lan'!D4</f>
        <v>GEMEINWOHL-RECHNER</v>
      </c>
      <c r="C2" s="531"/>
      <c r="D2" s="531"/>
      <c r="M2" s="1" t="str">
        <f>IF('12.lan'!B2="","",'12.lan'!B2)</f>
        <v>Select your language</v>
      </c>
    </row>
    <row r="3" spans="1:13" ht="12.75" customHeight="1">
      <c r="A3" s="2"/>
      <c r="B3" s="3" t="str">
        <f>'12.lan'!D6</f>
        <v>Version</v>
      </c>
      <c r="C3" s="4" t="s">
        <v>3048</v>
      </c>
      <c r="M3" s="1" t="str">
        <f>IF('12.lan'!B3="","",'12.lan'!B3)</f>
        <v>Deutsch</v>
      </c>
    </row>
    <row r="4" spans="1:13" ht="14.25" customHeight="1">
      <c r="A4" s="2"/>
      <c r="B4" s="2"/>
      <c r="C4" s="2"/>
      <c r="D4" s="2"/>
      <c r="M4" s="1" t="str">
        <f>IF('12.lan'!B4="","",'12.lan'!B4)</f>
        <v>Italiano</v>
      </c>
    </row>
    <row r="5" spans="1:13" ht="18.75" customHeight="1">
      <c r="A5" s="2"/>
      <c r="B5" s="532" t="str">
        <f>'12.lan'!D7</f>
        <v>HERZLICH WILLKOMMEN!</v>
      </c>
      <c r="C5" s="532"/>
      <c r="D5" s="532"/>
      <c r="M5" s="1" t="str">
        <f>IF('12.lan'!B5="","",'12.lan'!B5)</f>
        <v>English</v>
      </c>
    </row>
    <row r="6" spans="1:13" ht="47.25" customHeight="1">
      <c r="A6" s="2"/>
      <c r="B6" s="533" t="str">
        <f>'12.lan'!D8</f>
        <v>Dieses Tool dient zur Berechnung der Gemeinwohl-Punkte Ihres Unternehmens. Es ist eine Ergänzung zum Gemeinwohlbericht und muss gemeinsam mit diesem genutzt werden.  Wir wünschen gutes Gelingen!</v>
      </c>
      <c r="C6" s="533"/>
      <c r="D6" s="533"/>
      <c r="M6" s="1" t="str">
        <f>IF('12.lan'!B6="","",'12.lan'!B6)</f>
        <v>Español</v>
      </c>
    </row>
    <row r="7" spans="1:13" ht="24" customHeight="1">
      <c r="A7" s="2"/>
      <c r="B7" s="2"/>
      <c r="C7" s="2"/>
      <c r="D7" s="2"/>
      <c r="M7" s="1" t="str">
        <f>IF('12.lan'!B7="","",'12.lan'!B7)</f>
        <v>Francais</v>
      </c>
    </row>
    <row r="8" spans="1:13" ht="18.75" customHeight="1">
      <c r="A8" s="2"/>
      <c r="B8" s="532" t="str">
        <f>'12.lan'!D9</f>
        <v>WIE SIE DEN BILANZ-RECHNER RICHTIG VERWENDEN:</v>
      </c>
      <c r="C8" s="532"/>
      <c r="D8" s="532"/>
      <c r="M8" s="1" t="str">
        <f>IF('12.lan'!B8="","",'12.lan'!B8)</f>
        <v/>
      </c>
    </row>
    <row r="9" spans="1:13" ht="29.25" customHeight="1">
      <c r="A9" s="2"/>
      <c r="B9" s="534" t="str">
        <f>'12.lan'!D10</f>
        <v>1. Allgemeines</v>
      </c>
      <c r="C9" s="534"/>
      <c r="D9" s="5" t="str">
        <f>'12.lan'!D11</f>
        <v>Hier können Sie allgemeinen Angaben zu Ihrem Unternehmen machen.</v>
      </c>
      <c r="M9" s="1" t="str">
        <f>IF('12.lan'!B9="","",'12.lan'!B9)</f>
        <v/>
      </c>
    </row>
    <row r="10" spans="1:13" ht="37.5" customHeight="1">
      <c r="A10" s="2"/>
      <c r="B10" s="535" t="str">
        <f>'12.lan'!D28</f>
        <v>2. Fakten zum Unternehmen</v>
      </c>
      <c r="C10" s="535"/>
      <c r="D10" s="5" t="str">
        <f>'12.lan'!D12</f>
        <v xml:space="preserve">Hier müssen alle geforderten Kenngrößen eingetragen werden, da diese für die Gewichtung der Themen essentiell sind. </v>
      </c>
      <c r="M10" s="1" t="str">
        <f>IF('12.lan'!B10="","",'12.lan'!B10)</f>
        <v/>
      </c>
    </row>
    <row r="11" spans="1:13" ht="48" customHeight="1">
      <c r="A11" s="2"/>
      <c r="B11" s="535" t="str">
        <f>'12.lan'!D29</f>
        <v>3. Berechnung</v>
      </c>
      <c r="C11" s="535"/>
      <c r="D11" s="5" t="str">
        <f>'12.lan'!D13</f>
        <v>Für jedes Thema (A1, B1, ...) kann eine bestimmte Anzahl an Gemeinwohl-Punkten erreicht werden. Um zu ermitteln, wie viele davon Ihr Unternehmen erhält, gehen Sie wie folgt vor:</v>
      </c>
      <c r="M11" s="1" t="str">
        <f>IF('12.lan'!B11="","",'12.lan'!B11)</f>
        <v/>
      </c>
    </row>
    <row r="12" spans="1:13" ht="59.25" customHeight="1">
      <c r="A12" s="2"/>
      <c r="B12" s="536" t="s">
        <v>0</v>
      </c>
      <c r="C12" s="536"/>
      <c r="D12" s="5" t="str">
        <f>'12.lan'!D14</f>
        <v>Beschreiben Sie auf Basis des Arbeitsbuchs in wenigen Stichworten Ist-Zustand und Verbesserungspotenzial für die verschiedenen Aspekte (optional, ist für die Berechnung nicht unbedingt notwendig).</v>
      </c>
      <c r="M12" s="1" t="str">
        <f>IF('12.lan'!B12="","",'12.lan'!B12)</f>
        <v/>
      </c>
    </row>
    <row r="13" spans="1:13" ht="61.5" customHeight="1">
      <c r="A13" s="2"/>
      <c r="B13" s="536" t="s">
        <v>1</v>
      </c>
      <c r="C13" s="536"/>
      <c r="D13" s="5" t="str">
        <f>'12.lan'!D15</f>
        <v>Geben Sie - aufbauend auf diesen Beschreibungen - an, entsprechend welchem Skalenwert (0-10) Ihrer Meinung nach der jeweilige Aspekt erfüllt ist (Spalte "Erfüllungsgrad"). Anhaltspunkte zur Wahl des "richtigen" Skalenwerts finden Sie wiederum im Arbeitsbuch.</v>
      </c>
    </row>
    <row r="14" spans="1:13" ht="33" customHeight="1">
      <c r="A14" s="2"/>
      <c r="B14" s="536" t="s">
        <v>2</v>
      </c>
      <c r="C14" s="536"/>
      <c r="D14" s="5" t="str">
        <f>'12.lan'!D16</f>
        <v xml:space="preserve">Für die Bewertung der Negativaspekte geben Sie Punktewerte entsprechend der Beschreibungen im Arbeitsbuch an. </v>
      </c>
    </row>
    <row r="15" spans="1:13" ht="100.5" customHeight="1">
      <c r="A15" s="2"/>
      <c r="B15" s="536" t="s">
        <v>3</v>
      </c>
      <c r="C15" s="536"/>
      <c r="D15" s="6" t="str">
        <f>'12.lan'!D17</f>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6" spans="1:13" ht="48" customHeight="1">
      <c r="A16" s="2"/>
      <c r="B16" s="536" t="s">
        <v>4</v>
      </c>
      <c r="C16" s="536"/>
      <c r="D16" s="5" t="str">
        <f>'12.lan'!D18</f>
        <v>Bei der Berechnung werden die Gesamtwerte pro Thema automatisch entsprechend der Angaben im Faktenblatt gewichtet und auf ganzzahlige Vielfache von 10% gerundet.</v>
      </c>
    </row>
    <row r="17" spans="1:4" ht="72.75" customHeight="1">
      <c r="A17" s="2"/>
      <c r="B17" s="536" t="s">
        <v>3054</v>
      </c>
      <c r="C17" s="536"/>
      <c r="D17" s="5" t="str">
        <f>'12.lan'!D45</f>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row>
    <row r="18" spans="1:4" ht="18.75" customHeight="1">
      <c r="A18" s="2"/>
      <c r="B18" s="535" t="str">
        <f>'12.lan'!D30</f>
        <v>4. GW-Matrix</v>
      </c>
      <c r="C18" s="535"/>
      <c r="D18" s="5" t="str">
        <f>'12.lan'!D19</f>
        <v>Die "GW-Matrix" bietet einen tabellarischen Überblick über Ihr Ergebnis.</v>
      </c>
    </row>
    <row r="19" spans="1:4" ht="32.25" customHeight="1">
      <c r="A19" s="2"/>
      <c r="B19" s="535" t="str">
        <f>'12.lan'!D31</f>
        <v>5. Werte-Stern</v>
      </c>
      <c r="C19" s="535"/>
      <c r="D19" s="5" t="str">
        <f>'12.lan'!D21</f>
        <v>Der "Werte-Stern" zeigt schließlich Ihr Ergebnis nach Werten gegliedert in graphischer Form.</v>
      </c>
    </row>
    <row r="20" spans="1:4" ht="32.25" customHeight="1">
      <c r="A20" s="2"/>
      <c r="B20" s="535" t="str">
        <f>'12.lan'!D32</f>
        <v>6. Gruppen-Stern</v>
      </c>
      <c r="C20" s="535"/>
      <c r="D20" s="5" t="str">
        <f>'12.lan'!D22</f>
        <v>Der "Gruppen-Stern" zeigt schließlich Ihr Ergebnis nach Berührungsgruppen gegliedert in graphischer Form.</v>
      </c>
    </row>
    <row r="21" spans="1:4" ht="28.5" customHeight="1">
      <c r="A21" s="2"/>
      <c r="B21" s="535" t="str">
        <f>'12.lan'!D33</f>
        <v>7. Themen-Stern</v>
      </c>
      <c r="C21" s="535"/>
      <c r="D21" s="6" t="str">
        <f>'12.lan'!D23</f>
        <v>Der "Themen-Stern" zeigt schließlich Ihr Ergebnis in allen Themen in graphischer Form.</v>
      </c>
    </row>
    <row r="22" spans="1:4" ht="30" customHeight="1">
      <c r="A22" s="2"/>
      <c r="B22" s="537" t="str">
        <f>'12.lan'!D34</f>
        <v>8. Beschreibung Gewichtungsmodell</v>
      </c>
      <c r="C22" s="537"/>
      <c r="D22" s="6" t="str">
        <f>'12.lan'!D24</f>
        <v xml:space="preserve">Hier finden Sie eine Beschreibung der Gewichtungsmodelles. </v>
      </c>
    </row>
    <row r="23" spans="1:4" ht="41.25" customHeight="1">
      <c r="A23" s="2"/>
      <c r="B23" s="535" t="str">
        <f>'12.lan'!D35</f>
        <v>9. Gewichtung (ausgeblendet)</v>
      </c>
      <c r="C23" s="535"/>
      <c r="D23" s="6" t="str">
        <f>'12.lan'!D25</f>
        <v>Hier erfolgt die Berechnung wie die einzelnen Berührungsgruppen und Themen gewichtet werden.</v>
      </c>
    </row>
    <row r="24" spans="1:4" ht="43.5" customHeight="1">
      <c r="A24" s="2"/>
      <c r="B24" s="535" t="str">
        <f>'12.lan'!D36</f>
        <v>10. Branchen (ausgeblendet)</v>
      </c>
      <c r="C24" s="535"/>
      <c r="D24" s="6" t="str">
        <f>'12.lan'!D26</f>
        <v xml:space="preserve">Enthält Einschätzungen der Relevanz von Zulieferkette und ökologische Nachhaltigkeit für alle Branchen,, die für die Gewichtung herangezogen werden. </v>
      </c>
    </row>
    <row r="25" spans="1:4" ht="35.25" customHeight="1">
      <c r="A25" s="2"/>
      <c r="B25" s="537" t="str">
        <f>'12.lan'!D37</f>
        <v>11. Länder und Regionen (ausgeblendet)</v>
      </c>
      <c r="C25" s="537"/>
      <c r="D25" s="6" t="str">
        <f>'12.lan'!D27</f>
        <v xml:space="preserve">Enthält Statistiken für Länder und Regionen, die für die Gewichtung herangezogen werden. </v>
      </c>
    </row>
    <row r="26" spans="1:4" ht="15" customHeight="1">
      <c r="A26" s="2"/>
      <c r="B26" s="7"/>
      <c r="C26" s="7"/>
      <c r="D26" s="8"/>
    </row>
    <row r="27" spans="1:4" ht="12.75" customHeight="1">
      <c r="A27" s="2"/>
      <c r="B27" s="532" t="str">
        <f>'12.lan'!D40</f>
        <v>LEGENDE</v>
      </c>
      <c r="C27" s="532"/>
      <c r="D27" s="532"/>
    </row>
    <row r="28" spans="1:4" ht="19.5" customHeight="1">
      <c r="A28" s="2"/>
      <c r="B28" s="538" t="str">
        <f>'12.lan'!D41</f>
        <v>Feld ist beschreibbar (grüner Rahmen, dunkelgrüne Schrift)</v>
      </c>
      <c r="C28" s="538"/>
      <c r="D28" s="538"/>
    </row>
    <row r="29" spans="1:4" ht="1.5" customHeight="1">
      <c r="A29" s="2"/>
      <c r="B29" s="9"/>
      <c r="C29" s="9"/>
      <c r="D29" s="10"/>
    </row>
    <row r="30" spans="1:4" ht="19.5" customHeight="1">
      <c r="A30" s="2"/>
      <c r="B30" s="539" t="str">
        <f>'12.lan'!D42</f>
        <v>Feld ist nicht beschreibbar (grauer Rahmen, dunkelgraue Schrift)</v>
      </c>
      <c r="C30" s="539"/>
      <c r="D30" s="539"/>
    </row>
    <row r="31" spans="1:4" ht="1.5" customHeight="1">
      <c r="A31" s="2"/>
      <c r="B31" s="9"/>
      <c r="C31" s="9"/>
      <c r="D31" s="10"/>
    </row>
    <row r="32" spans="1:4" ht="19.5" customHeight="1">
      <c r="A32" s="2"/>
      <c r="B32" s="540" t="str">
        <f>'12.lan'!D43</f>
        <v>unerlaubter Wert eingegeben (zur korrekten Berechnung Wert ändern)</v>
      </c>
      <c r="C32" s="540"/>
      <c r="D32" s="540"/>
    </row>
    <row r="33" spans="1:4" ht="12.75" customHeight="1">
      <c r="A33" s="2"/>
      <c r="B33" s="2"/>
      <c r="C33" s="2"/>
      <c r="D33" s="2"/>
    </row>
    <row r="34" spans="1:4" ht="12.75" customHeight="1">
      <c r="A34" s="2"/>
      <c r="B34" s="532" t="str">
        <f>'12.lan'!D54</f>
        <v>KONTAKT</v>
      </c>
      <c r="C34" s="532"/>
      <c r="D34" s="532"/>
    </row>
    <row r="35" spans="1:4" ht="12.75" customHeight="1">
      <c r="A35" s="2"/>
      <c r="B35" s="542" t="str">
        <f>'12.lan'!D55</f>
        <v>Fragen zur Bilanz-Erstellung: beratung@gemeinwohl-oekonomie.org (GWÖ-BeraterInnen);</v>
      </c>
      <c r="C35" s="542"/>
      <c r="D35" s="542"/>
    </row>
    <row r="36" spans="1:4" ht="12.75" customHeight="1">
      <c r="A36" s="2"/>
      <c r="B36" s="542" t="str">
        <f>'12.lan'!D56</f>
        <v>Fragen zur Auditierung: audit@gemeinwohl-oekonomie.org (GWÖ-AuditorInnen);</v>
      </c>
      <c r="C36" s="542"/>
      <c r="D36" s="542"/>
    </row>
    <row r="37" spans="1:4" ht="12.75" customHeight="1">
      <c r="A37" s="2"/>
      <c r="B37" s="543" t="str">
        <f>'12.lan'!D57</f>
        <v>Weiterentwicklung der Matrix: bilanz@ecogood.org (GWÖ-Matrix Entwicklungsteam);</v>
      </c>
      <c r="C37" s="543"/>
      <c r="D37" s="543"/>
    </row>
    <row r="38" spans="1:4" ht="51" customHeight="1">
      <c r="A38" s="2"/>
      <c r="B38" s="544" t="str">
        <f>'12.lan'!D58</f>
        <v>Excel-Programmierung: Christian Loy (christian.loy@gmx.at); Christian Kozina; Multilanguage-tool: Bernhard Oberrauch</v>
      </c>
      <c r="C38" s="544"/>
      <c r="D38" s="544"/>
    </row>
    <row r="39" spans="1:4" ht="30" customHeight="1">
      <c r="A39" s="2"/>
      <c r="B39" s="545" t="str">
        <f>'12.lan'!D59</f>
        <v>Inhalte: GWÖ-Matrix Entwicklungsteam</v>
      </c>
      <c r="C39" s="545"/>
      <c r="D39" s="545"/>
    </row>
    <row r="40" spans="1:4" ht="12.75" customHeight="1">
      <c r="A40" s="2"/>
      <c r="B40" s="2"/>
      <c r="C40" s="2"/>
      <c r="D40" s="2"/>
    </row>
    <row r="41" spans="1:4" ht="12.75" customHeight="1">
      <c r="A41" s="2"/>
      <c r="B41" s="532" t="str">
        <f>'12.lan'!D60</f>
        <v>ANMERKUNGEN</v>
      </c>
      <c r="C41" s="532"/>
      <c r="D41" s="532"/>
    </row>
    <row r="42" spans="1:4" ht="28.5" customHeight="1">
      <c r="B42" s="541" t="str">
        <f>'12.lan'!D61</f>
        <v>Alle Tabellen sind optimiert für den Ausdruck auf A4 (Hoch- oder Querformat).
Die Höhe der Zeilen ist veränderbar, falls Sie mehr Text eingeben wollen.</v>
      </c>
      <c r="C42" s="541"/>
      <c r="D42" s="541"/>
    </row>
  </sheetData>
  <sheetProtection algorithmName="SHA-512" hashValue="ojycNgLaRe2hCClBwxl7zuuHN1ncmoYYw66OZOl600Tfl0xdh8zKjJdb7nBfAL2Vf712j38bCgQRwYtbM6uQgQ==" saltValue="J2Lt8jqoSc16vDaPfLr1+w==" spinCount="100000" sheet="1" objects="1" scenarios="1"/>
  <mergeCells count="34">
    <mergeCell ref="B41:D41"/>
    <mergeCell ref="B42:D42"/>
    <mergeCell ref="B34:D34"/>
    <mergeCell ref="B35:D35"/>
    <mergeCell ref="B36:D36"/>
    <mergeCell ref="B37:D37"/>
    <mergeCell ref="B38:D38"/>
    <mergeCell ref="B39:D39"/>
    <mergeCell ref="B25:C25"/>
    <mergeCell ref="B27:D27"/>
    <mergeCell ref="B28:D28"/>
    <mergeCell ref="B30:D30"/>
    <mergeCell ref="B32:D32"/>
    <mergeCell ref="B20:C20"/>
    <mergeCell ref="B21:C21"/>
    <mergeCell ref="B22:C22"/>
    <mergeCell ref="B23:C23"/>
    <mergeCell ref="B24:C24"/>
    <mergeCell ref="B14:C14"/>
    <mergeCell ref="B15:C15"/>
    <mergeCell ref="B16:C16"/>
    <mergeCell ref="B18:C18"/>
    <mergeCell ref="B19:C19"/>
    <mergeCell ref="B17:C17"/>
    <mergeCell ref="B9:C9"/>
    <mergeCell ref="B10:C10"/>
    <mergeCell ref="B11:C11"/>
    <mergeCell ref="B12:C12"/>
    <mergeCell ref="B13:C13"/>
    <mergeCell ref="B1:C1"/>
    <mergeCell ref="B2:D2"/>
    <mergeCell ref="B5:D5"/>
    <mergeCell ref="B6:D6"/>
    <mergeCell ref="B8:D8"/>
  </mergeCells>
  <dataValidations count="1">
    <dataValidation type="list" allowBlank="1" showInputMessage="1" showErrorMessage="1" sqref="B1:C1" xr:uid="{00000000-0002-0000-0000-000000000000}">
      <formula1>$M$2:$M$8</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1" sqref="C1"/>
    </sheetView>
  </sheetViews>
  <sheetFormatPr baseColWidth="10" defaultColWidth="10.33203125" defaultRowHeight="12.75" customHeight="1"/>
  <cols>
    <col min="1" max="1" width="32.33203125" style="286" customWidth="1"/>
    <col min="2" max="2" width="2.33203125" style="286" customWidth="1"/>
    <col min="3" max="3" width="94.33203125" style="287" customWidth="1"/>
    <col min="4" max="4" width="4.6640625" style="287" customWidth="1"/>
    <col min="5" max="16384" width="10.33203125" style="287"/>
  </cols>
  <sheetData>
    <row r="1" spans="1:6" ht="33" customHeight="1">
      <c r="A1" s="288" t="str">
        <f>'12.lan'!D91&amp;" - "&amp;'0. Intro'!B3&amp;" "&amp;'0. Intro'!C3</f>
        <v>Gemeinwohl-Bilanz-Rechner - Version 5.05</v>
      </c>
      <c r="B1" s="289"/>
      <c r="C1" s="289"/>
      <c r="D1" s="289"/>
      <c r="E1" s="289"/>
      <c r="F1" s="289"/>
    </row>
    <row r="2" spans="1:6" ht="31.5" customHeight="1">
      <c r="A2" s="547" t="str">
        <f>'12.lan'!D204</f>
        <v>Beschreibung des Gewichtungsmodelles</v>
      </c>
      <c r="B2" s="547"/>
      <c r="C2" s="547"/>
      <c r="D2" s="290"/>
      <c r="E2" s="290"/>
    </row>
    <row r="3" spans="1:6" ht="12" customHeight="1">
      <c r="A3" s="290"/>
      <c r="B3" s="290"/>
      <c r="C3" s="290"/>
      <c r="D3" s="290"/>
      <c r="E3" s="290"/>
    </row>
    <row r="4" spans="1:6" ht="108" customHeight="1">
      <c r="A4" s="291" t="str">
        <f>'12.lan'!D208</f>
        <v>Allgemein</v>
      </c>
      <c r="B4" s="291"/>
      <c r="C4" s="292" t="str">
        <f>'12.lan'!D244</f>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D4" s="290"/>
      <c r="E4" s="290"/>
    </row>
    <row r="5" spans="1:6" ht="78.75" customHeight="1">
      <c r="A5" s="291" t="str">
        <f>'12.lan'!D207</f>
        <v>Berührungsgruppen &amp; Werte</v>
      </c>
      <c r="B5" s="291"/>
      <c r="C5" s="292" t="str">
        <f>'12.lan'!D245</f>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6" spans="1:6" ht="45.75" customHeight="1">
      <c r="A6" s="293" t="str">
        <f>'12.lan'!D205</f>
        <v>Themen</v>
      </c>
      <c r="B6" s="293"/>
      <c r="C6" s="294" t="str">
        <f>'12.lan'!D246</f>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7" spans="1:6" ht="18.75" customHeight="1">
      <c r="A7" s="295" t="s">
        <v>13</v>
      </c>
      <c r="B7" s="295"/>
      <c r="C7" s="294" t="s">
        <v>153</v>
      </c>
    </row>
    <row r="8" spans="1:6" ht="18.75" customHeight="1">
      <c r="A8" s="296" t="s">
        <v>16</v>
      </c>
      <c r="B8" s="296"/>
      <c r="C8" s="294" t="str">
        <f>'12.lan'!D248</f>
        <v>-</v>
      </c>
    </row>
    <row r="9" spans="1:6" ht="26.25" customHeight="1">
      <c r="A9" s="297" t="s">
        <v>20</v>
      </c>
      <c r="B9" s="297"/>
      <c r="C9" s="294" t="str">
        <f>'12.lan'!D249</f>
        <v>Die Gewichtung dieses Thema’s ist abhängig vom ökologischen Effekt der Branche des Lieferanten (siehe Tabellenblatt “Industry”)</v>
      </c>
    </row>
    <row r="10" spans="1:6" ht="24.75" customHeight="1">
      <c r="A10" s="297" t="s">
        <v>23</v>
      </c>
      <c r="B10" s="297"/>
      <c r="C10" s="294" t="str">
        <f>'12.lan'!D250</f>
        <v>Die Gewichtung dieses Thema’s ist abhängig von den Mitbestimmungsrechte in den Ländern der wichtigsten Zulieferbranchen (basierend auf dem ITUC-Index der International Trade Union Confederation)</v>
      </c>
    </row>
    <row r="11" spans="1:6" ht="20.25" customHeight="1">
      <c r="A11" s="297" t="s">
        <v>27</v>
      </c>
      <c r="B11" s="297"/>
      <c r="C11" s="294" t="str">
        <f>'12.lan'!D251</f>
        <v>Die Gewichtung dieses Thema’s ist abhängig von der Relation Umsatz zu Bilanzsumme</v>
      </c>
    </row>
    <row r="12" spans="1:6" ht="20.25" customHeight="1">
      <c r="A12" s="297" t="s">
        <v>31</v>
      </c>
      <c r="B12" s="297"/>
      <c r="C12" s="294" t="str">
        <f>'12.lan'!D252</f>
        <v xml:space="preserve">Die Gewichtung dieses Thema’s ist abhängig von der Relation Gewinn zu Umsatz </v>
      </c>
    </row>
    <row r="13" spans="1:6" ht="20.25" customHeight="1">
      <c r="A13" s="297" t="s">
        <v>34</v>
      </c>
      <c r="B13" s="297"/>
      <c r="C13" s="294" t="str">
        <f>'12.lan'!D253</f>
        <v>Die Gewichtung dieses Thema’s ist abhängig  Zugängen zum Anlagevermögen und Finanzvermögen in Relation zu der Bilanzsumme</v>
      </c>
    </row>
    <row r="14" spans="1:6" ht="20.25" customHeight="1">
      <c r="A14" s="297" t="s">
        <v>38</v>
      </c>
      <c r="B14" s="297"/>
      <c r="C14" s="294" t="str">
        <f>'12.lan'!D254</f>
        <v>Die Gewichtung dieses Thema’s ist abhängig von der Größe des Unternehmens</v>
      </c>
    </row>
    <row r="15" spans="1:6" ht="20.25" customHeight="1">
      <c r="A15" s="297" t="s">
        <v>42</v>
      </c>
      <c r="B15" s="297"/>
      <c r="C15" s="294" t="str">
        <f>'12.lan'!D255</f>
        <v>-</v>
      </c>
    </row>
    <row r="16" spans="1:6" ht="20.25" customHeight="1">
      <c r="A16" s="297" t="s">
        <v>47</v>
      </c>
      <c r="B16" s="297"/>
      <c r="C16" s="294" t="str">
        <f>'12.lan'!D256</f>
        <v>-</v>
      </c>
    </row>
    <row r="17" spans="1:3" ht="26.25" customHeight="1">
      <c r="A17" s="297" t="s">
        <v>52</v>
      </c>
      <c r="B17" s="297"/>
      <c r="C17" s="294" t="str">
        <f>'12.lan'!D257</f>
        <v>Die Gewichtung dieses Thema’s ist abhängig von der Existenz einer Kantine für die Mehrheit der Mitarbeiter*innen sowie dem (geschätzten) durchschnittlichen Anfahrtsweg zur Arbeit.</v>
      </c>
    </row>
    <row r="18" spans="1:3" ht="24.75" customHeight="1">
      <c r="A18" s="297" t="s">
        <v>57</v>
      </c>
      <c r="B18" s="297"/>
      <c r="C18" s="294" t="str">
        <f>'12.lan'!D258</f>
        <v>Die Gewichtung dieses Thema’s ist abhängig von der Größe des Unternehmens sowie von den Mitbestimmungsrechte in den Ländern der wichtigsten Standorte (basierend auf dem ITUC-Index der International Labour Union)</v>
      </c>
    </row>
    <row r="19" spans="1:3" ht="16.5" customHeight="1">
      <c r="A19" s="297" t="s">
        <v>63</v>
      </c>
      <c r="B19" s="297"/>
      <c r="C19" s="294" t="str">
        <f>'12.lan'!D259</f>
        <v>-</v>
      </c>
    </row>
    <row r="20" spans="1:3" ht="16.5" customHeight="1">
      <c r="A20" s="297" t="s">
        <v>67</v>
      </c>
      <c r="B20" s="297"/>
      <c r="C20" s="294" t="str">
        <f>'12.lan'!D260</f>
        <v>-</v>
      </c>
    </row>
    <row r="21" spans="1:3" ht="16.5" customHeight="1">
      <c r="A21" s="297" t="s">
        <v>71</v>
      </c>
      <c r="B21" s="297"/>
      <c r="C21" s="294" t="str">
        <f>'12.lan'!D261</f>
        <v xml:space="preserve">Die Gewichtung dieses Thema’s ist abhängig von der Branche </v>
      </c>
    </row>
    <row r="22" spans="1:3" ht="16.5" customHeight="1">
      <c r="A22" s="297" t="s">
        <v>75</v>
      </c>
      <c r="B22" s="297"/>
      <c r="C22" s="294" t="str">
        <f>'12.lan'!D262</f>
        <v>Die Gewichtung dieses Thema’s ist abhängig davon, ob Kund*innen in erster Linie Private oder Unternehmen sind</v>
      </c>
    </row>
    <row r="23" spans="1:3" ht="16.5" customHeight="1">
      <c r="A23" s="297" t="s">
        <v>79</v>
      </c>
      <c r="B23" s="297"/>
      <c r="C23" s="294" t="str">
        <f>'12.lan'!D263</f>
        <v>-</v>
      </c>
    </row>
    <row r="24" spans="1:3" ht="16.5" customHeight="1">
      <c r="A24" s="297" t="s">
        <v>83</v>
      </c>
      <c r="B24" s="297"/>
      <c r="C24" s="294" t="str">
        <f>'12.lan'!D264</f>
        <v>Die Gewichtung dieses Thema’s ist abhängig von der Umsatzrentabilität (Gewinn/Umsatz)</v>
      </c>
    </row>
    <row r="25" spans="1:3" ht="16.5" customHeight="1">
      <c r="A25" s="297" t="s">
        <v>88</v>
      </c>
      <c r="B25" s="297"/>
      <c r="C25" s="294" t="str">
        <f>'12.lan'!D265</f>
        <v>Die Gewichtung dieses Thenma’s ist abhängig von der Branche</v>
      </c>
    </row>
    <row r="26" spans="1:3" ht="16.5" customHeight="1">
      <c r="A26" s="298" t="s">
        <v>92</v>
      </c>
      <c r="B26" s="298"/>
      <c r="C26" s="294" t="str">
        <f>'12.lan'!D266</f>
        <v>Die Gewichtung dieses Thema’s ist abhängig von der Größe sowie der Branche des Unternehmens.</v>
      </c>
    </row>
  </sheetData>
  <sheetProtection algorithmName="SHA-512" hashValue="CQffYlUNLhfZJ+hH1SHjtGEWWCeLgD4pfcDOfYxznn+WJcp3/1j1yjND2ZxI8sJ3mBWg5mpbmJuXW/dO78zkaA==" saltValue="jY4QANegUY/oUqcu5hbhSA==" spinCount="100000" sheet="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C1D2-5C31-44E8-9DBF-81A5CB265087}">
  <dimension ref="A1:B5"/>
  <sheetViews>
    <sheetView showGridLines="0" workbookViewId="0">
      <selection activeCell="B6" sqref="B6"/>
    </sheetView>
  </sheetViews>
  <sheetFormatPr baseColWidth="10" defaultColWidth="11.44140625" defaultRowHeight="13.8"/>
  <cols>
    <col min="1" max="1" width="9.33203125" style="518" customWidth="1"/>
    <col min="2" max="2" width="112.6640625" style="518" customWidth="1"/>
    <col min="3" max="16384" width="11.44140625" style="518"/>
  </cols>
  <sheetData>
    <row r="1" spans="1:2" s="519" customFormat="1" ht="51" customHeight="1">
      <c r="A1" s="520" t="s">
        <v>699</v>
      </c>
      <c r="B1" s="521" t="s">
        <v>3045</v>
      </c>
    </row>
    <row r="2" spans="1:2" s="519" customFormat="1" ht="51" customHeight="1">
      <c r="A2" s="522" t="s">
        <v>3046</v>
      </c>
      <c r="B2" s="523" t="s">
        <v>3049</v>
      </c>
    </row>
    <row r="3" spans="1:2" s="519" customFormat="1" ht="51" customHeight="1">
      <c r="A3" s="522" t="s">
        <v>3047</v>
      </c>
      <c r="B3" s="523" t="s">
        <v>3051</v>
      </c>
    </row>
    <row r="4" spans="1:2" s="519" customFormat="1" ht="51" customHeight="1">
      <c r="A4" s="522" t="s">
        <v>3044</v>
      </c>
      <c r="B4" s="523" t="s">
        <v>3050</v>
      </c>
    </row>
    <row r="5" spans="1:2" s="519" customFormat="1" ht="68.25" customHeight="1">
      <c r="A5" s="522" t="s">
        <v>3048</v>
      </c>
      <c r="B5" s="524" t="s">
        <v>3354</v>
      </c>
    </row>
  </sheetData>
  <sheetProtection algorithmName="SHA-512" hashValue="u9+bzsmdWbFyOumSYPen5qDj0g/Vw0chuI1O7AFvhWMsiOnZV38khDjjLBTvVBEL6vPxAc7sfM1Zs4byZfJ1Tg==" saltValue="VkaS3zN4Y/YdRvdtsI93Zw==" spinCount="100000" sheet="1" objects="1" scenarios="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K33" sqref="K33"/>
    </sheetView>
  </sheetViews>
  <sheetFormatPr baseColWidth="10" defaultColWidth="10.33203125" defaultRowHeight="9.75" customHeight="1"/>
  <cols>
    <col min="1" max="1" width="6.33203125" style="299" customWidth="1"/>
    <col min="2" max="2" width="43.33203125" style="299" customWidth="1"/>
    <col min="3" max="3" width="5" style="300" customWidth="1"/>
    <col min="4" max="4" width="1.33203125" style="299" customWidth="1"/>
    <col min="5" max="5" width="7.88671875" style="299" customWidth="1"/>
    <col min="6" max="6" width="12.33203125" style="299" customWidth="1"/>
    <col min="7" max="7" width="9.33203125" style="299" hidden="1" customWidth="1"/>
    <col min="8" max="8" width="20.88671875" style="299" hidden="1" customWidth="1"/>
    <col min="9" max="9" width="7.88671875" style="300" customWidth="1"/>
    <col min="10" max="10" width="14.88671875" style="299" customWidth="1"/>
    <col min="11" max="11" width="7.88671875" style="300" customWidth="1"/>
    <col min="12" max="12" width="14.33203125" style="299" customWidth="1"/>
    <col min="13" max="13" width="7.88671875" style="299" customWidth="1"/>
    <col min="14" max="14" width="9.88671875" style="299" customWidth="1"/>
    <col min="15" max="15" width="2.33203125" style="299" customWidth="1"/>
    <col min="16" max="16" width="7.88671875" style="299" customWidth="1"/>
    <col min="17" max="17" width="16.33203125" style="299" customWidth="1"/>
    <col min="18" max="16384" width="10.33203125" style="299"/>
  </cols>
  <sheetData>
    <row r="1" spans="1:19" ht="29.25" customHeight="1">
      <c r="A1" s="614" t="s">
        <v>154</v>
      </c>
      <c r="B1" s="614"/>
      <c r="C1" s="614"/>
      <c r="D1" s="614"/>
      <c r="E1" s="614"/>
      <c r="F1" s="614"/>
      <c r="G1" s="614"/>
      <c r="H1" s="614"/>
      <c r="I1" s="614"/>
      <c r="J1" s="614"/>
      <c r="K1" s="614"/>
      <c r="L1" s="614"/>
      <c r="M1" s="614"/>
      <c r="N1" s="614"/>
      <c r="O1" s="614"/>
      <c r="P1" s="614"/>
      <c r="Q1" s="614"/>
    </row>
    <row r="2" spans="1:19" ht="22.5" customHeight="1">
      <c r="A2" s="301"/>
      <c r="B2" s="302" t="s">
        <v>155</v>
      </c>
      <c r="C2" s="615"/>
      <c r="D2" s="615"/>
      <c r="E2" s="616" t="s">
        <v>156</v>
      </c>
      <c r="F2" s="616"/>
      <c r="G2" s="617" t="s">
        <v>157</v>
      </c>
      <c r="H2" s="617"/>
      <c r="I2" s="618" t="s">
        <v>158</v>
      </c>
      <c r="J2" s="618"/>
      <c r="K2" s="615" t="s">
        <v>159</v>
      </c>
      <c r="L2" s="615"/>
      <c r="M2" s="619" t="s">
        <v>160</v>
      </c>
      <c r="N2" s="619"/>
      <c r="O2" s="620" t="s">
        <v>161</v>
      </c>
      <c r="P2" s="620"/>
      <c r="Q2" s="620"/>
      <c r="R2" s="613"/>
      <c r="S2" s="613"/>
    </row>
    <row r="3" spans="1:19" ht="111" customHeight="1">
      <c r="A3" s="303"/>
      <c r="B3" s="304" t="s">
        <v>162</v>
      </c>
      <c r="C3" s="305"/>
      <c r="D3" s="306"/>
      <c r="E3" s="307" t="s">
        <v>163</v>
      </c>
      <c r="F3" s="306" t="s">
        <v>164</v>
      </c>
      <c r="G3" s="308" t="s">
        <v>163</v>
      </c>
      <c r="H3" s="308" t="s">
        <v>165</v>
      </c>
      <c r="I3" s="309" t="s">
        <v>163</v>
      </c>
      <c r="J3" s="310" t="s">
        <v>166</v>
      </c>
      <c r="K3" s="305" t="s">
        <v>163</v>
      </c>
      <c r="L3" s="306" t="s">
        <v>167</v>
      </c>
      <c r="M3" s="311" t="s">
        <v>163</v>
      </c>
      <c r="N3" s="310" t="s">
        <v>168</v>
      </c>
      <c r="O3" s="312"/>
      <c r="P3" s="313" t="s">
        <v>163</v>
      </c>
      <c r="Q3" s="314" t="s">
        <v>169</v>
      </c>
    </row>
    <row r="4" spans="1:19" ht="71.099999999999994" customHeight="1">
      <c r="A4" s="315" t="s">
        <v>170</v>
      </c>
      <c r="B4" s="316" t="str">
        <f>'12.lan'!D268</f>
        <v>A - Landwirtschaft, Forstwirtschaft und Fischerei</v>
      </c>
      <c r="C4" s="317"/>
      <c r="D4" s="318"/>
      <c r="E4" s="319" t="s">
        <v>151</v>
      </c>
      <c r="F4" s="318"/>
      <c r="G4" s="320"/>
      <c r="H4" s="320" t="s">
        <v>171</v>
      </c>
      <c r="I4" s="507" t="s">
        <v>149</v>
      </c>
      <c r="J4" s="321" t="s">
        <v>172</v>
      </c>
      <c r="K4" s="317" t="s">
        <v>151</v>
      </c>
      <c r="L4" s="318" t="s">
        <v>173</v>
      </c>
      <c r="M4" s="322" t="s">
        <v>149</v>
      </c>
      <c r="N4" s="323"/>
      <c r="O4" s="312"/>
      <c r="P4" s="324" t="s">
        <v>151</v>
      </c>
      <c r="Q4" s="314"/>
    </row>
    <row r="5" spans="1:19" ht="21" customHeight="1">
      <c r="A5" s="325" t="s">
        <v>174</v>
      </c>
      <c r="B5" s="316" t="str">
        <f>'12.lan'!D269</f>
        <v>B - Bergbau und Gewinnung von Steinen und Erden</v>
      </c>
      <c r="C5" s="326"/>
      <c r="D5" s="327"/>
      <c r="E5" s="328" t="s">
        <v>151</v>
      </c>
      <c r="F5" s="327"/>
      <c r="G5" s="329"/>
      <c r="H5" s="329"/>
      <c r="I5" s="330" t="s">
        <v>149</v>
      </c>
      <c r="J5" s="331"/>
      <c r="K5" s="326" t="s">
        <v>151</v>
      </c>
      <c r="L5" s="327" t="s">
        <v>175</v>
      </c>
      <c r="M5" s="332" t="s">
        <v>151</v>
      </c>
      <c r="N5" s="331"/>
      <c r="O5" s="312"/>
      <c r="P5" s="324" t="s">
        <v>151</v>
      </c>
      <c r="Q5" s="314"/>
    </row>
    <row r="6" spans="1:19" ht="20.100000000000001" customHeight="1">
      <c r="A6" s="325" t="s">
        <v>176</v>
      </c>
      <c r="B6" s="316" t="str">
        <f>'12.lan'!D270</f>
        <v>C - Verarbeitendes Gewerbe (nicht weiter spezifiziert)</v>
      </c>
      <c r="C6" s="326"/>
      <c r="D6" s="333"/>
      <c r="E6" s="334" t="s">
        <v>150</v>
      </c>
      <c r="F6" s="333"/>
      <c r="G6" s="335"/>
      <c r="H6" s="335"/>
      <c r="I6" s="330" t="s">
        <v>149</v>
      </c>
      <c r="J6" s="331"/>
      <c r="K6" s="326" t="s">
        <v>150</v>
      </c>
      <c r="L6" s="333" t="s">
        <v>177</v>
      </c>
      <c r="M6" s="332" t="s">
        <v>150</v>
      </c>
      <c r="N6" s="331"/>
      <c r="O6" s="312"/>
      <c r="P6" s="324" t="s">
        <v>150</v>
      </c>
      <c r="Q6" s="314"/>
    </row>
    <row r="7" spans="1:19" ht="9.75" customHeight="1">
      <c r="A7" s="325" t="s">
        <v>178</v>
      </c>
      <c r="B7" s="316" t="str">
        <f>'12.lan'!D271</f>
        <v>Ca - Produktion von Lebensmittel, Getränken und Tabak (C10,C11,C12)</v>
      </c>
      <c r="C7" s="326"/>
      <c r="D7" s="336"/>
      <c r="E7" s="337" t="s">
        <v>151</v>
      </c>
      <c r="F7" s="336"/>
      <c r="G7" s="338"/>
      <c r="H7" s="338"/>
      <c r="I7" s="330" t="s">
        <v>149</v>
      </c>
      <c r="J7" s="331"/>
      <c r="K7" s="326" t="s">
        <v>149</v>
      </c>
      <c r="L7" s="336"/>
      <c r="M7" s="332" t="s">
        <v>149</v>
      </c>
      <c r="N7" s="331"/>
      <c r="O7" s="312"/>
      <c r="P7" s="324" t="s">
        <v>151</v>
      </c>
      <c r="Q7" s="314"/>
    </row>
    <row r="8" spans="1:19" ht="9.75" customHeight="1">
      <c r="A8" s="325" t="s">
        <v>179</v>
      </c>
      <c r="B8" s="316" t="str">
        <f>'12.lan'!D272</f>
        <v>Cb - Produktion von Textilien, Kleidung, Leder und Produkten hieraus (C13,C14,C15)</v>
      </c>
      <c r="C8" s="326"/>
      <c r="D8" s="336"/>
      <c r="E8" s="337" t="s">
        <v>151</v>
      </c>
      <c r="F8" s="336"/>
      <c r="G8" s="338"/>
      <c r="H8" s="338"/>
      <c r="I8" s="330" t="s">
        <v>149</v>
      </c>
      <c r="J8" s="331"/>
      <c r="K8" s="326" t="s">
        <v>150</v>
      </c>
      <c r="L8" s="336"/>
      <c r="M8" s="332" t="s">
        <v>149</v>
      </c>
      <c r="N8" s="331"/>
      <c r="O8" s="312"/>
      <c r="P8" s="324" t="s">
        <v>151</v>
      </c>
      <c r="Q8" s="314"/>
    </row>
    <row r="9" spans="1:19" ht="9.75" customHeight="1">
      <c r="A9" s="325" t="s">
        <v>180</v>
      </c>
      <c r="B9" s="316" t="str">
        <f>'12.lan'!D273</f>
        <v>Cc - Produktion von Holz- und Papierprodukten sowie Drucksorten (C16,C17,C18)</v>
      </c>
      <c r="C9" s="326"/>
      <c r="D9" s="336"/>
      <c r="E9" s="337" t="s">
        <v>150</v>
      </c>
      <c r="F9" s="336"/>
      <c r="G9" s="338"/>
      <c r="H9" s="338"/>
      <c r="I9" s="330" t="s">
        <v>149</v>
      </c>
      <c r="J9" s="331"/>
      <c r="K9" s="326" t="s">
        <v>150</v>
      </c>
      <c r="L9" s="336"/>
      <c r="M9" s="332" t="s">
        <v>149</v>
      </c>
      <c r="N9" s="331"/>
      <c r="O9" s="312"/>
      <c r="P9" s="324" t="s">
        <v>151</v>
      </c>
      <c r="Q9" s="314"/>
    </row>
    <row r="10" spans="1:19" ht="9.75" customHeight="1">
      <c r="A10" s="325" t="s">
        <v>181</v>
      </c>
      <c r="B10" s="316" t="str">
        <f>'12.lan'!D274</f>
        <v>Cd - Produktion von petrochemischen Produkte und Kunststoffen (C19, C20;C22)</v>
      </c>
      <c r="C10" s="326"/>
      <c r="D10" s="336"/>
      <c r="E10" s="337" t="s">
        <v>151</v>
      </c>
      <c r="F10" s="336"/>
      <c r="G10" s="338"/>
      <c r="H10" s="338"/>
      <c r="I10" s="330" t="s">
        <v>149</v>
      </c>
      <c r="J10" s="331"/>
      <c r="K10" s="326" t="s">
        <v>150</v>
      </c>
      <c r="L10" s="336"/>
      <c r="M10" s="332" t="s">
        <v>150</v>
      </c>
      <c r="N10" s="331"/>
      <c r="O10" s="312"/>
      <c r="P10" s="324" t="s">
        <v>151</v>
      </c>
      <c r="Q10" s="314"/>
    </row>
    <row r="11" spans="1:19" ht="20.100000000000001" customHeight="1">
      <c r="A11" s="325" t="s">
        <v>182</v>
      </c>
      <c r="B11" s="316" t="str">
        <f>'12.lan'!D275</f>
        <v>Ce - Produktion von pharmazeutischen Produktion und Präparaten (C21)</v>
      </c>
      <c r="C11" s="326"/>
      <c r="D11" s="336"/>
      <c r="E11" s="337" t="s">
        <v>149</v>
      </c>
      <c r="F11" s="336"/>
      <c r="G11" s="338"/>
      <c r="H11" s="338"/>
      <c r="I11" s="330" t="s">
        <v>150</v>
      </c>
      <c r="J11" s="339" t="s">
        <v>183</v>
      </c>
      <c r="K11" s="326" t="s">
        <v>150</v>
      </c>
      <c r="L11" s="336"/>
      <c r="M11" s="332" t="s">
        <v>150</v>
      </c>
      <c r="N11" s="331"/>
      <c r="O11" s="312"/>
      <c r="P11" s="324" t="s">
        <v>150</v>
      </c>
      <c r="Q11" s="314"/>
    </row>
    <row r="12" spans="1:19" ht="9.75" customHeight="1">
      <c r="A12" s="325" t="s">
        <v>184</v>
      </c>
      <c r="B12" s="316" t="str">
        <f>'12.lan'!D276</f>
        <v>Cf - Produktion nicht metallischer Mineralstoffe (C23)</v>
      </c>
      <c r="C12" s="326"/>
      <c r="D12" s="336"/>
      <c r="E12" s="337" t="s">
        <v>150</v>
      </c>
      <c r="F12" s="336"/>
      <c r="G12" s="338"/>
      <c r="H12" s="338"/>
      <c r="I12" s="330" t="s">
        <v>149</v>
      </c>
      <c r="J12" s="339"/>
      <c r="K12" s="326" t="s">
        <v>150</v>
      </c>
      <c r="L12" s="336"/>
      <c r="M12" s="332" t="s">
        <v>150</v>
      </c>
      <c r="N12" s="331"/>
      <c r="O12" s="312"/>
      <c r="P12" s="324" t="s">
        <v>150</v>
      </c>
      <c r="Q12" s="314"/>
    </row>
    <row r="13" spans="1:19" ht="9.75" customHeight="1">
      <c r="A13" s="325" t="s">
        <v>185</v>
      </c>
      <c r="B13" s="316" t="str">
        <f>'12.lan'!D277</f>
        <v>Cg - Produktion von Metallen und metallischen Produkten (exkl. Maschinen und Geräten) (C24,C25)</v>
      </c>
      <c r="C13" s="326"/>
      <c r="D13" s="336"/>
      <c r="E13" s="337" t="s">
        <v>151</v>
      </c>
      <c r="F13" s="336"/>
      <c r="G13" s="338"/>
      <c r="H13" s="338"/>
      <c r="I13" s="330" t="s">
        <v>149</v>
      </c>
      <c r="J13" s="339"/>
      <c r="K13" s="326" t="s">
        <v>150</v>
      </c>
      <c r="L13" s="336"/>
      <c r="M13" s="332" t="s">
        <v>150</v>
      </c>
      <c r="N13" s="331"/>
      <c r="O13" s="312"/>
      <c r="P13" s="324" t="s">
        <v>151</v>
      </c>
      <c r="Q13" s="314"/>
    </row>
    <row r="14" spans="1:19" ht="9.75" customHeight="1">
      <c r="A14" s="325" t="s">
        <v>186</v>
      </c>
      <c r="B14" s="316" t="str">
        <f>'12.lan'!D278</f>
        <v>Ch - Produktion von elektronischen, optischen und sonstigen Geräten und Bauteilen sowie Computer (C26,C27,C28)</v>
      </c>
      <c r="C14" s="326"/>
      <c r="D14" s="336"/>
      <c r="E14" s="337" t="s">
        <v>151</v>
      </c>
      <c r="F14" s="336"/>
      <c r="G14" s="338"/>
      <c r="H14" s="338"/>
      <c r="I14" s="330" t="s">
        <v>150</v>
      </c>
      <c r="J14" s="339"/>
      <c r="K14" s="326" t="s">
        <v>150</v>
      </c>
      <c r="L14" s="336"/>
      <c r="M14" s="332" t="s">
        <v>150</v>
      </c>
      <c r="N14" s="331"/>
      <c r="O14" s="312"/>
      <c r="P14" s="324" t="s">
        <v>151</v>
      </c>
      <c r="Q14" s="314"/>
    </row>
    <row r="15" spans="1:19" ht="20.100000000000001" customHeight="1">
      <c r="A15" s="325" t="s">
        <v>187</v>
      </c>
      <c r="B15" s="316" t="str">
        <f>'12.lan'!D279</f>
        <v xml:space="preserve">D - Strom-, Gas-, Dampfversorgung und Kühlung </v>
      </c>
      <c r="C15" s="326"/>
      <c r="D15" s="340"/>
      <c r="E15" s="341" t="s">
        <v>149</v>
      </c>
      <c r="F15" s="342"/>
      <c r="G15" s="343"/>
      <c r="H15" s="343"/>
      <c r="I15" s="330" t="s">
        <v>149</v>
      </c>
      <c r="J15" s="331"/>
      <c r="K15" s="326" t="s">
        <v>151</v>
      </c>
      <c r="L15" s="340" t="s">
        <v>188</v>
      </c>
      <c r="M15" s="332" t="s">
        <v>150</v>
      </c>
      <c r="N15" s="331"/>
      <c r="O15" s="312"/>
      <c r="P15" s="324" t="s">
        <v>151</v>
      </c>
      <c r="Q15" s="314"/>
    </row>
    <row r="16" spans="1:19" ht="20.100000000000001" customHeight="1">
      <c r="A16" s="325" t="s">
        <v>189</v>
      </c>
      <c r="B16" s="316" t="str">
        <f>'12.lan'!D280</f>
        <v>E - Wasserversorgung, Abfallwirtschaft</v>
      </c>
      <c r="C16" s="326"/>
      <c r="D16" s="327"/>
      <c r="E16" s="328" t="s">
        <v>149</v>
      </c>
      <c r="F16" s="327"/>
      <c r="G16" s="329"/>
      <c r="H16" s="329"/>
      <c r="I16" s="330" t="s">
        <v>150</v>
      </c>
      <c r="J16" s="331"/>
      <c r="K16" s="326" t="s">
        <v>150</v>
      </c>
      <c r="L16" s="327"/>
      <c r="M16" s="332" t="s">
        <v>150</v>
      </c>
      <c r="N16" s="331"/>
      <c r="O16" s="312"/>
      <c r="P16" s="324" t="s">
        <v>149</v>
      </c>
      <c r="Q16" s="314"/>
    </row>
    <row r="17" spans="1:17" ht="39.75" customHeight="1">
      <c r="A17" s="325" t="s">
        <v>190</v>
      </c>
      <c r="B17" s="316" t="str">
        <f>'12.lan'!D281</f>
        <v>F - Baugewerbe</v>
      </c>
      <c r="C17" s="326"/>
      <c r="D17" s="327"/>
      <c r="E17" s="328" t="s">
        <v>151</v>
      </c>
      <c r="F17" s="327"/>
      <c r="G17" s="329"/>
      <c r="H17" s="329"/>
      <c r="I17" s="330" t="s">
        <v>151</v>
      </c>
      <c r="J17" s="331"/>
      <c r="K17" s="326" t="s">
        <v>151</v>
      </c>
      <c r="L17" s="327" t="s">
        <v>191</v>
      </c>
      <c r="M17" s="332" t="s">
        <v>151</v>
      </c>
      <c r="N17" s="331"/>
      <c r="O17" s="312"/>
      <c r="P17" s="324" t="s">
        <v>151</v>
      </c>
      <c r="Q17" s="314"/>
    </row>
    <row r="18" spans="1:17" ht="9.75" customHeight="1">
      <c r="A18" s="325" t="s">
        <v>192</v>
      </c>
      <c r="B18" s="316" t="str">
        <f>'12.lan'!D282</f>
        <v>G - Groß- und Einzelhandel sowie Werkstätten für Kraftfahrzeuge (Anmerkung: Groß- und Einzelhandel nicht auf KFZ beschränkt)</v>
      </c>
      <c r="C18" s="326"/>
      <c r="D18" s="327"/>
      <c r="E18" s="328" t="s">
        <v>149</v>
      </c>
      <c r="F18" s="327"/>
      <c r="G18" s="329"/>
      <c r="H18" s="329"/>
      <c r="I18" s="330" t="s">
        <v>151</v>
      </c>
      <c r="J18" s="331"/>
      <c r="K18" s="326" t="s">
        <v>149</v>
      </c>
      <c r="L18" s="327"/>
      <c r="M18" s="332" t="s">
        <v>149</v>
      </c>
      <c r="N18" s="331"/>
      <c r="O18" s="312"/>
      <c r="P18" s="324" t="s">
        <v>150</v>
      </c>
      <c r="Q18" s="314"/>
    </row>
    <row r="19" spans="1:17" ht="9.75" customHeight="1">
      <c r="A19" s="325" t="s">
        <v>193</v>
      </c>
      <c r="B19" s="316" t="str">
        <f>'12.lan'!D283</f>
        <v>H - Verkehr und Lagerhaltung</v>
      </c>
      <c r="C19" s="326"/>
      <c r="D19" s="327"/>
      <c r="E19" s="328" t="s">
        <v>149</v>
      </c>
      <c r="F19" s="327"/>
      <c r="G19" s="329"/>
      <c r="H19" s="329"/>
      <c r="I19" s="330" t="s">
        <v>149</v>
      </c>
      <c r="J19" s="331"/>
      <c r="K19" s="326" t="s">
        <v>151</v>
      </c>
      <c r="L19" s="327"/>
      <c r="M19" s="332" t="s">
        <v>149</v>
      </c>
      <c r="N19" s="331"/>
      <c r="O19" s="312"/>
      <c r="P19" s="324" t="s">
        <v>150</v>
      </c>
      <c r="Q19" s="314"/>
    </row>
    <row r="20" spans="1:17" ht="9.75" customHeight="1">
      <c r="A20" s="325" t="s">
        <v>194</v>
      </c>
      <c r="B20" s="316" t="str">
        <f>'12.lan'!D284</f>
        <v>I - Beherbergung und Gastronomie</v>
      </c>
      <c r="C20" s="326"/>
      <c r="D20" s="327"/>
      <c r="E20" s="328" t="s">
        <v>150</v>
      </c>
      <c r="F20" s="327"/>
      <c r="G20" s="329"/>
      <c r="H20" s="329"/>
      <c r="I20" s="330" t="s">
        <v>149</v>
      </c>
      <c r="J20" s="331"/>
      <c r="K20" s="326" t="s">
        <v>150</v>
      </c>
      <c r="L20" s="327"/>
      <c r="M20" s="332" t="s">
        <v>149</v>
      </c>
      <c r="N20" s="331"/>
      <c r="O20" s="312"/>
      <c r="P20" s="324" t="s">
        <v>150</v>
      </c>
      <c r="Q20" s="314"/>
    </row>
    <row r="21" spans="1:17" ht="9.75" customHeight="1">
      <c r="A21" s="325" t="s">
        <v>195</v>
      </c>
      <c r="B21" s="316" t="str">
        <f>'12.lan'!D285</f>
        <v>J - Information und Kommunikation</v>
      </c>
      <c r="C21" s="326"/>
      <c r="D21" s="327"/>
      <c r="E21" s="328" t="s">
        <v>149</v>
      </c>
      <c r="F21" s="327"/>
      <c r="G21" s="329"/>
      <c r="H21" s="329"/>
      <c r="I21" s="330" t="s">
        <v>149</v>
      </c>
      <c r="J21" s="331"/>
      <c r="K21" s="326" t="s">
        <v>150</v>
      </c>
      <c r="L21" s="327"/>
      <c r="M21" s="332" t="s">
        <v>149</v>
      </c>
      <c r="N21" s="331"/>
      <c r="O21" s="312"/>
      <c r="P21" s="324" t="s">
        <v>150</v>
      </c>
      <c r="Q21" s="314"/>
    </row>
    <row r="22" spans="1:17" ht="9.75" customHeight="1">
      <c r="A22" s="325" t="s">
        <v>196</v>
      </c>
      <c r="B22" s="316" t="str">
        <f>'12.lan'!D286</f>
        <v>K - Kredit- und Finanzwesen</v>
      </c>
      <c r="C22" s="326"/>
      <c r="D22" s="327"/>
      <c r="E22" s="328" t="s">
        <v>149</v>
      </c>
      <c r="F22" s="327"/>
      <c r="G22" s="329"/>
      <c r="H22" s="329"/>
      <c r="I22" s="330" t="s">
        <v>151</v>
      </c>
      <c r="J22" s="331"/>
      <c r="K22" s="326" t="s">
        <v>149</v>
      </c>
      <c r="L22" s="327"/>
      <c r="M22" s="332" t="s">
        <v>149</v>
      </c>
      <c r="N22" s="331"/>
      <c r="O22" s="312"/>
      <c r="P22" s="324" t="s">
        <v>149</v>
      </c>
      <c r="Q22" s="314"/>
    </row>
    <row r="23" spans="1:17" ht="9.75" customHeight="1">
      <c r="A23" s="325" t="s">
        <v>197</v>
      </c>
      <c r="B23" s="316" t="str">
        <f>'12.lan'!D287</f>
        <v>L - (Immobilienwirtschaft</v>
      </c>
      <c r="C23" s="326"/>
      <c r="D23" s="327"/>
      <c r="E23" s="328" t="s">
        <v>149</v>
      </c>
      <c r="F23" s="327"/>
      <c r="G23" s="329"/>
      <c r="H23" s="329"/>
      <c r="I23" s="330" t="s">
        <v>151</v>
      </c>
      <c r="J23" s="331"/>
      <c r="K23" s="326" t="s">
        <v>149</v>
      </c>
      <c r="L23" s="327"/>
      <c r="M23" s="332" t="s">
        <v>149</v>
      </c>
      <c r="N23" s="331"/>
      <c r="O23" s="312"/>
      <c r="P23" s="324" t="s">
        <v>150</v>
      </c>
      <c r="Q23" s="314"/>
    </row>
    <row r="24" spans="1:17" ht="9.75" customHeight="1">
      <c r="A24" s="325" t="s">
        <v>198</v>
      </c>
      <c r="B24" s="316" t="str">
        <f>'12.lan'!D288</f>
        <v>M - Freiberufliche, wissenschaftliche und technische Dienstleistungen</v>
      </c>
      <c r="C24" s="326"/>
      <c r="D24" s="327"/>
      <c r="E24" s="328" t="s">
        <v>149</v>
      </c>
      <c r="F24" s="327"/>
      <c r="G24" s="329"/>
      <c r="H24" s="329"/>
      <c r="I24" s="330" t="s">
        <v>149</v>
      </c>
      <c r="J24" s="331"/>
      <c r="K24" s="326" t="s">
        <v>149</v>
      </c>
      <c r="L24" s="327"/>
      <c r="M24" s="332" t="s">
        <v>149</v>
      </c>
      <c r="N24" s="331"/>
      <c r="O24" s="312"/>
      <c r="P24" s="324" t="s">
        <v>149</v>
      </c>
      <c r="Q24" s="314"/>
    </row>
    <row r="25" spans="1:17" ht="9.75" customHeight="1">
      <c r="A25" s="325" t="s">
        <v>199</v>
      </c>
      <c r="B25" s="316" t="str">
        <f>'12.lan'!D289</f>
        <v>N - Administrative und unterstützende Dienstleistungen</v>
      </c>
      <c r="C25" s="326"/>
      <c r="D25" s="327"/>
      <c r="E25" s="328" t="s">
        <v>149</v>
      </c>
      <c r="F25" s="327"/>
      <c r="G25" s="329"/>
      <c r="H25" s="329"/>
      <c r="I25" s="330" t="s">
        <v>149</v>
      </c>
      <c r="J25" s="331"/>
      <c r="K25" s="326" t="s">
        <v>149</v>
      </c>
      <c r="L25" s="327"/>
      <c r="M25" s="332" t="s">
        <v>149</v>
      </c>
      <c r="N25" s="331"/>
      <c r="O25" s="312"/>
      <c r="P25" s="324" t="s">
        <v>149</v>
      </c>
      <c r="Q25" s="314"/>
    </row>
    <row r="26" spans="1:17" ht="11.25" customHeight="1">
      <c r="A26" s="325" t="s">
        <v>200</v>
      </c>
      <c r="B26" s="316" t="str">
        <f>'12.lan'!D290</f>
        <v>O - Öffentliche Verwaltung; Verteidigung; Sozialversicherungswesen</v>
      </c>
      <c r="C26" s="326"/>
      <c r="D26" s="327"/>
      <c r="E26" s="328" t="s">
        <v>149</v>
      </c>
      <c r="F26" s="327"/>
      <c r="G26" s="329"/>
      <c r="H26" s="329"/>
      <c r="I26" s="330" t="s">
        <v>149</v>
      </c>
      <c r="J26" s="331"/>
      <c r="K26" s="326" t="s">
        <v>149</v>
      </c>
      <c r="L26" s="327"/>
      <c r="M26" s="332" t="s">
        <v>149</v>
      </c>
      <c r="N26" s="331"/>
      <c r="O26" s="312"/>
      <c r="P26" s="324" t="s">
        <v>149</v>
      </c>
      <c r="Q26" s="314"/>
    </row>
    <row r="27" spans="1:17" ht="9.75" customHeight="1">
      <c r="A27" s="325" t="s">
        <v>201</v>
      </c>
      <c r="B27" s="316" t="str">
        <f>'12.lan'!D291</f>
        <v>P - Bildung</v>
      </c>
      <c r="C27" s="326"/>
      <c r="D27" s="327"/>
      <c r="E27" s="328" t="s">
        <v>149</v>
      </c>
      <c r="F27" s="327"/>
      <c r="G27" s="329"/>
      <c r="H27" s="329"/>
      <c r="I27" s="330" t="s">
        <v>149</v>
      </c>
      <c r="J27" s="331"/>
      <c r="K27" s="326" t="s">
        <v>149</v>
      </c>
      <c r="L27" s="327"/>
      <c r="M27" s="332" t="s">
        <v>149</v>
      </c>
      <c r="N27" s="331"/>
      <c r="O27" s="312"/>
      <c r="P27" s="324" t="s">
        <v>149</v>
      </c>
      <c r="Q27" s="314"/>
    </row>
    <row r="28" spans="1:17" ht="9.75" customHeight="1">
      <c r="A28" s="325" t="s">
        <v>202</v>
      </c>
      <c r="B28" s="316" t="str">
        <f>'12.lan'!D292</f>
        <v>Q - Gesundheit und Sozialarbeit</v>
      </c>
      <c r="C28" s="326"/>
      <c r="D28" s="327"/>
      <c r="E28" s="328" t="s">
        <v>149</v>
      </c>
      <c r="F28" s="327"/>
      <c r="G28" s="329"/>
      <c r="H28" s="329"/>
      <c r="I28" s="330" t="s">
        <v>149</v>
      </c>
      <c r="J28" s="331"/>
      <c r="K28" s="326" t="s">
        <v>149</v>
      </c>
      <c r="L28" s="327"/>
      <c r="M28" s="332" t="s">
        <v>149</v>
      </c>
      <c r="N28" s="331"/>
      <c r="O28" s="312"/>
      <c r="P28" s="324" t="s">
        <v>149</v>
      </c>
      <c r="Q28" s="314"/>
    </row>
    <row r="29" spans="1:17" ht="9.75" customHeight="1">
      <c r="A29" s="325" t="s">
        <v>203</v>
      </c>
      <c r="B29" s="316" t="str">
        <f>'12.lan'!D293</f>
        <v>R - Kunst, Unterhaltung und Erholung</v>
      </c>
      <c r="C29" s="326"/>
      <c r="D29" s="327"/>
      <c r="E29" s="328" t="s">
        <v>149</v>
      </c>
      <c r="F29" s="327"/>
      <c r="G29" s="329"/>
      <c r="H29" s="329"/>
      <c r="I29" s="330" t="s">
        <v>149</v>
      </c>
      <c r="J29" s="331"/>
      <c r="K29" s="326" t="s">
        <v>149</v>
      </c>
      <c r="L29" s="327"/>
      <c r="M29" s="332" t="s">
        <v>149</v>
      </c>
      <c r="N29" s="331"/>
      <c r="O29" s="312"/>
      <c r="P29" s="324" t="s">
        <v>149</v>
      </c>
      <c r="Q29" s="314"/>
    </row>
    <row r="30" spans="1:17" ht="9.75" customHeight="1">
      <c r="A30" s="325" t="s">
        <v>204</v>
      </c>
      <c r="B30" s="316" t="str">
        <f>'12.lan'!D294</f>
        <v>S - Andere Dienstleistungen</v>
      </c>
      <c r="C30" s="326"/>
      <c r="D30" s="327"/>
      <c r="E30" s="328" t="s">
        <v>149</v>
      </c>
      <c r="F30" s="327"/>
      <c r="G30" s="329"/>
      <c r="H30" s="329"/>
      <c r="I30" s="330" t="s">
        <v>149</v>
      </c>
      <c r="J30" s="331"/>
      <c r="K30" s="326" t="s">
        <v>149</v>
      </c>
      <c r="L30" s="327"/>
      <c r="M30" s="332" t="s">
        <v>149</v>
      </c>
      <c r="N30" s="331"/>
      <c r="O30" s="312"/>
      <c r="P30" s="324" t="s">
        <v>149</v>
      </c>
      <c r="Q30" s="314"/>
    </row>
    <row r="31" spans="1:17" ht="11.25" customHeight="1">
      <c r="A31" s="325" t="s">
        <v>205</v>
      </c>
      <c r="B31" s="316" t="str">
        <f>'12.lan'!D295</f>
        <v>T - Private Haushalte</v>
      </c>
      <c r="C31" s="326"/>
      <c r="D31" s="327"/>
      <c r="E31" s="328" t="s">
        <v>149</v>
      </c>
      <c r="F31" s="327"/>
      <c r="G31" s="329"/>
      <c r="H31" s="329"/>
      <c r="I31" s="330" t="s">
        <v>149</v>
      </c>
      <c r="J31" s="331"/>
      <c r="K31" s="326" t="s">
        <v>149</v>
      </c>
      <c r="L31" s="327"/>
      <c r="M31" s="332" t="s">
        <v>149</v>
      </c>
      <c r="N31" s="331"/>
      <c r="O31" s="344"/>
      <c r="P31" s="345" t="s">
        <v>149</v>
      </c>
      <c r="Q31" s="346"/>
    </row>
    <row r="32" spans="1:17" ht="12" customHeight="1">
      <c r="A32" s="347" t="s">
        <v>206</v>
      </c>
      <c r="B32" s="316" t="str">
        <f>'12.lan'!D296</f>
        <v>U - Exterritoriale Organisationen und Körperschaften</v>
      </c>
      <c r="C32" s="326"/>
      <c r="D32" s="327"/>
      <c r="E32" s="328" t="s">
        <v>149</v>
      </c>
      <c r="F32" s="327"/>
      <c r="G32" s="329"/>
      <c r="H32" s="329"/>
      <c r="I32" s="330" t="s">
        <v>149</v>
      </c>
      <c r="J32" s="331"/>
      <c r="K32" s="326" t="s">
        <v>149</v>
      </c>
      <c r="L32" s="327"/>
      <c r="M32" s="332" t="s">
        <v>149</v>
      </c>
      <c r="N32" s="331"/>
      <c r="O32" s="344"/>
      <c r="P32" s="345" t="s">
        <v>149</v>
      </c>
      <c r="Q32" s="346"/>
    </row>
    <row r="34" spans="1:12" ht="9.75" customHeight="1">
      <c r="A34" s="348" t="str">
        <f>'9. Weighting'!H35</f>
        <v>Bi</v>
      </c>
      <c r="B34" s="349" t="s">
        <v>207</v>
      </c>
      <c r="C34" s="350">
        <f>'9. Weighting'!I35</f>
        <v>0</v>
      </c>
      <c r="D34" s="349"/>
      <c r="E34" s="349"/>
      <c r="F34" s="349"/>
      <c r="G34" s="349"/>
      <c r="H34" s="349"/>
      <c r="I34" s="351" t="str">
        <f>IFERROR(VLOOKUP(A34,'10. Industry'!$A$4:$O$32,9,FALSE),"mittel")</f>
        <v>mittel</v>
      </c>
      <c r="J34" s="352">
        <f>VLOOKUP(I34,'9. Weighting'!$F$49:$H$53,3,FALSE)</f>
        <v>1</v>
      </c>
      <c r="K34" s="351" t="str">
        <f>IFERROR(VLOOKUP(A34,'10. Industry'!$A$4:$O$32,11,FALSE),"mittel")</f>
        <v>mittel</v>
      </c>
      <c r="L34" s="353">
        <f>VLOOKUP(K34,'9. Weighting'!$F$49:$H$53,3,FALSE)</f>
        <v>1</v>
      </c>
    </row>
    <row r="35" spans="1:12" ht="9.75" customHeight="1">
      <c r="A35" s="354" t="str">
        <f>'9. Weighting'!H36</f>
        <v>Bi</v>
      </c>
      <c r="B35" s="355" t="s">
        <v>208</v>
      </c>
      <c r="C35" s="356">
        <f>'9. Weighting'!I36</f>
        <v>0</v>
      </c>
      <c r="D35" s="355"/>
      <c r="E35" s="355"/>
      <c r="F35" s="355"/>
      <c r="G35" s="355"/>
      <c r="H35" s="355"/>
      <c r="I35" s="438" t="str">
        <f>IFERROR(VLOOKUP(A35,'10. Industry'!$A$4:$O$32,9,FALSE),"mittel")</f>
        <v>mittel</v>
      </c>
      <c r="J35" s="357">
        <f>VLOOKUP(I35,'9. Weighting'!$F$49:$H$53,3,FALSE)</f>
        <v>1</v>
      </c>
      <c r="K35" s="438" t="str">
        <f>IFERROR(VLOOKUP(A35,'10. Industry'!$A$4:$O$32,11,FALSE),"mittel")</f>
        <v>mittel</v>
      </c>
      <c r="L35" s="358">
        <f>VLOOKUP(K35,'9. Weighting'!$F$49:$H$53,3,FALSE)</f>
        <v>1</v>
      </c>
    </row>
    <row r="36" spans="1:12" ht="9.75" customHeight="1">
      <c r="A36" s="354" t="str">
        <f>'9. Weighting'!H37</f>
        <v>Bi</v>
      </c>
      <c r="B36" s="355" t="s">
        <v>209</v>
      </c>
      <c r="C36" s="356">
        <f>'9. Weighting'!I37</f>
        <v>0</v>
      </c>
      <c r="D36" s="355"/>
      <c r="E36" s="355"/>
      <c r="F36" s="355"/>
      <c r="G36" s="355"/>
      <c r="H36" s="355"/>
      <c r="I36" s="438" t="str">
        <f>IFERROR(VLOOKUP(A36,'10. Industry'!$A$4:$O$32,9,FALSE),"mittel")</f>
        <v>mittel</v>
      </c>
      <c r="J36" s="357">
        <f>VLOOKUP(I36,'9. Weighting'!$F$49:$H$53,3,FALSE)</f>
        <v>1</v>
      </c>
      <c r="K36" s="438" t="str">
        <f>IFERROR(VLOOKUP(A36,'10. Industry'!$A$4:$O$32,11,FALSE),"mittel")</f>
        <v>mittel</v>
      </c>
      <c r="L36" s="358">
        <f>VLOOKUP(K36,'9. Weighting'!$F$49:$H$53,3,FALSE)</f>
        <v>1</v>
      </c>
    </row>
    <row r="37" spans="1:12" ht="9.75" customHeight="1">
      <c r="A37" s="354"/>
      <c r="B37" s="355"/>
      <c r="C37" s="359">
        <f>1-SUM(C34:C36)</f>
        <v>1</v>
      </c>
      <c r="D37" s="355"/>
      <c r="E37" s="355"/>
      <c r="F37" s="355"/>
      <c r="G37" s="355"/>
      <c r="H37" s="355"/>
      <c r="I37" s="438" t="s">
        <v>149</v>
      </c>
      <c r="J37" s="357">
        <f>VLOOKUP(I37,'9. Weighting'!$F$49:$H$53,3,FALSE)</f>
        <v>1</v>
      </c>
      <c r="K37" s="438" t="s">
        <v>149</v>
      </c>
      <c r="L37" s="358">
        <f>VLOOKUP(K37,'9. Weighting'!$F$49:$H$53,3,FALSE)</f>
        <v>1</v>
      </c>
    </row>
    <row r="38" spans="1:12" ht="9.75" customHeight="1">
      <c r="A38" s="354"/>
      <c r="B38" s="355"/>
      <c r="C38" s="359">
        <f>SUM(C34:C37)</f>
        <v>1</v>
      </c>
      <c r="D38" s="355"/>
      <c r="E38" s="355"/>
      <c r="F38" s="355"/>
      <c r="G38" s="355"/>
      <c r="H38" s="355"/>
      <c r="I38" s="438"/>
      <c r="J38" s="357">
        <f>C34*J34+C35*J35+C36*J36+C37*J37</f>
        <v>1</v>
      </c>
      <c r="K38" s="438"/>
      <c r="L38" s="358">
        <f>C34*L34+C35*L35+C36*L36+C37*L37</f>
        <v>1</v>
      </c>
    </row>
    <row r="39" spans="1:12" ht="9.75" customHeight="1">
      <c r="A39" s="360"/>
      <c r="B39" s="361" t="s">
        <v>210</v>
      </c>
      <c r="C39" s="362"/>
      <c r="D39" s="363"/>
      <c r="E39" s="363"/>
      <c r="F39" s="363"/>
      <c r="G39" s="363"/>
      <c r="H39" s="363"/>
      <c r="I39" s="362"/>
      <c r="J39" s="363" t="str">
        <f>IF(J38&lt;0.75,"niedrig",IF(J38&lt;1.25,"mittel",IF(J38&gt;1.75,"sehr hoch","hoch")))</f>
        <v>mittel</v>
      </c>
      <c r="K39" s="362"/>
      <c r="L39" s="364" t="str">
        <f>IF(L38&lt;0.75,"niedrig",IF(L38&lt;1.25,"mittel",IF(L38&gt;1.75,"sehr hoch","hoch")))</f>
        <v>mittel</v>
      </c>
    </row>
  </sheetData>
  <sheetProtection algorithmName="SHA-512" hashValue="eDRyrjSgDUaSxaqE+lWgpjMpDkEZMzDHL8eybJxcUHslRvx9aYvtfrE7WGawFuMYSImpYl81qYYZ5SZ52ayfTQ==" saltValue="bNxHYtWZZAAethOd/NAT4Q=="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2" zoomScale="75" zoomScaleNormal="75" workbookViewId="0">
      <pane ySplit="1128" activePane="bottomLeft"/>
      <selection activeCell="A5" sqref="A1:XFD1048576"/>
      <selection pane="bottomLeft" activeCell="C22" sqref="C22"/>
    </sheetView>
  </sheetViews>
  <sheetFormatPr baseColWidth="10" defaultColWidth="10.33203125" defaultRowHeight="9.75" customHeight="1"/>
  <cols>
    <col min="1" max="1" width="18" style="365" customWidth="1"/>
    <col min="2" max="3" width="16.33203125" style="366" customWidth="1"/>
    <col min="4" max="4" width="19.33203125" style="366" customWidth="1"/>
    <col min="5" max="5" width="22.33203125" style="366" customWidth="1"/>
    <col min="6" max="6" width="20.33203125" style="366" customWidth="1"/>
    <col min="7" max="7" width="10.33203125" style="366" customWidth="1"/>
    <col min="8" max="9" width="10.33203125" style="365" customWidth="1"/>
    <col min="10" max="10" width="10.88671875" style="365" customWidth="1"/>
    <col min="11" max="16384" width="10.33203125" style="365"/>
  </cols>
  <sheetData>
    <row r="1" spans="1:17" ht="27" customHeight="1">
      <c r="A1" s="621" t="s">
        <v>211</v>
      </c>
      <c r="B1" s="621"/>
      <c r="C1" s="621"/>
      <c r="D1" s="621"/>
      <c r="E1" s="621"/>
      <c r="F1" s="621"/>
      <c r="G1" s="621"/>
    </row>
    <row r="2" spans="1:17" ht="34.5" customHeight="1">
      <c r="A2" s="367"/>
      <c r="B2" s="368" t="s">
        <v>212</v>
      </c>
      <c r="C2" s="369" t="s">
        <v>213</v>
      </c>
      <c r="D2" s="369" t="s">
        <v>214</v>
      </c>
      <c r="E2" s="368" t="s">
        <v>215</v>
      </c>
      <c r="F2" s="368" t="s">
        <v>216</v>
      </c>
      <c r="G2" s="368" t="s">
        <v>217</v>
      </c>
      <c r="H2" s="370" t="s">
        <v>218</v>
      </c>
      <c r="I2" s="371" t="s">
        <v>219</v>
      </c>
      <c r="J2" s="372" t="s">
        <v>110</v>
      </c>
      <c r="K2" s="373" t="s">
        <v>220</v>
      </c>
      <c r="L2" s="622" t="s">
        <v>221</v>
      </c>
      <c r="M2" s="622"/>
      <c r="N2" s="622"/>
      <c r="O2" s="623" t="s">
        <v>222</v>
      </c>
      <c r="P2" s="623"/>
      <c r="Q2" s="623"/>
    </row>
    <row r="3" spans="1:17" ht="9.75" customHeight="1">
      <c r="A3" s="367" t="s">
        <v>223</v>
      </c>
      <c r="B3" s="624">
        <f>'9. Weighting'!I10</f>
        <v>0</v>
      </c>
      <c r="C3" s="374">
        <f>'9. Weighting'!I13</f>
        <v>0</v>
      </c>
      <c r="D3" s="375" t="str">
        <f>'9. Weighting'!H13</f>
        <v>Bitte Auswählen</v>
      </c>
      <c r="E3" s="376">
        <f t="shared" ref="E3:E8" si="0">IFERROR(VLOOKUP(D3,$A$22:$G$400,3,FALSE),$C$243)</f>
        <v>1.0030456687149514</v>
      </c>
      <c r="F3" s="377">
        <f t="shared" ref="F3:F8" si="1">IFERROR(C3*E3,"0")</f>
        <v>0</v>
      </c>
      <c r="G3" s="625">
        <f>SUM(F3:F8)</f>
        <v>0</v>
      </c>
      <c r="H3" s="379" t="str">
        <f t="shared" ref="H3:H8" si="2">IFERROR(F3/$G$3,"-")</f>
        <v>-</v>
      </c>
      <c r="I3" s="365">
        <f t="shared" ref="I3:I8" si="3">IFERROR(VLOOKUP(D3,$A$21:$I$134,6,FALSE),2.99)</f>
        <v>2.99</v>
      </c>
      <c r="J3" s="380" t="str">
        <f>'9. Weighting'!E13</f>
        <v>Bi</v>
      </c>
      <c r="K3" s="381" t="str">
        <f>'9. Weighting'!G13</f>
        <v>bitte einfügen</v>
      </c>
      <c r="L3" s="381">
        <f>IFERROR(VLOOKUP(J3,'10. Industry'!$A$4:$P$32,16,FALSE),'3. Calc'!C104)</f>
        <v>1</v>
      </c>
      <c r="M3" s="381" t="e">
        <f>VLOOKUP(L3,'9. Weighting'!$F$49:$H$53,3,FALSE)</f>
        <v>#N/A</v>
      </c>
      <c r="N3" s="382" t="e">
        <f>M3*H3</f>
        <v>#N/A</v>
      </c>
      <c r="O3" s="381">
        <f>IFERROR(VLOOKUP(J3,'10. Industry'!$A$4:$N$32,5,FALSE),'3. Calc'!C104)</f>
        <v>1</v>
      </c>
      <c r="P3" s="381" t="e">
        <f>VLOOKUP(O3,'9. Weighting'!$F$49:$H$53,3,FALSE)</f>
        <v>#N/A</v>
      </c>
      <c r="Q3" s="383" t="e">
        <f>P3*H3</f>
        <v>#N/A</v>
      </c>
    </row>
    <row r="4" spans="1:17" ht="9.75" customHeight="1">
      <c r="A4" s="367" t="s">
        <v>224</v>
      </c>
      <c r="B4" s="624"/>
      <c r="C4" s="374">
        <f>'9. Weighting'!I14</f>
        <v>0</v>
      </c>
      <c r="D4" s="375" t="str">
        <f>'9. Weighting'!H14</f>
        <v>Bitte Auswählen</v>
      </c>
      <c r="E4" s="376">
        <f t="shared" si="0"/>
        <v>1.0030456687149514</v>
      </c>
      <c r="F4" s="377">
        <f t="shared" si="1"/>
        <v>0</v>
      </c>
      <c r="G4" s="625"/>
      <c r="H4" s="379" t="str">
        <f t="shared" si="2"/>
        <v>-</v>
      </c>
      <c r="I4" s="365">
        <f t="shared" si="3"/>
        <v>2.99</v>
      </c>
      <c r="J4" s="380" t="str">
        <f>'9. Weighting'!E14</f>
        <v>Bi</v>
      </c>
      <c r="K4" s="381" t="str">
        <f>'9. Weighting'!G14</f>
        <v>bitte einfügen</v>
      </c>
      <c r="L4" s="381">
        <f>IFERROR(VLOOKUP(J4,'10. Industry'!$A$4:$P$32,16,FALSE),'3. Calc'!C104)</f>
        <v>1</v>
      </c>
      <c r="M4" s="381" t="e">
        <f>VLOOKUP(L4,'9. Weighting'!$F$49:$H$53,3,FALSE)</f>
        <v>#N/A</v>
      </c>
      <c r="N4" s="382" t="e">
        <f>M4*H4</f>
        <v>#N/A</v>
      </c>
      <c r="O4" s="381">
        <f>IFERROR(VLOOKUP(J4,'10. Industry'!$A$4:$N$32,5,FALSE),'3. Calc'!C104)</f>
        <v>1</v>
      </c>
      <c r="P4" s="381" t="e">
        <f>VLOOKUP(O4,'9. Weighting'!$F$49:$H$53,3,FALSE)</f>
        <v>#N/A</v>
      </c>
      <c r="Q4" s="383" t="e">
        <f>P4*H4</f>
        <v>#N/A</v>
      </c>
    </row>
    <row r="5" spans="1:17" ht="9.75" customHeight="1">
      <c r="A5" s="367" t="s">
        <v>225</v>
      </c>
      <c r="B5" s="624"/>
      <c r="C5" s="374">
        <f>'9. Weighting'!I15</f>
        <v>0</v>
      </c>
      <c r="D5" s="375" t="str">
        <f>'9. Weighting'!H15</f>
        <v>Bitte Auswählen</v>
      </c>
      <c r="E5" s="376">
        <f t="shared" si="0"/>
        <v>1.0030456687149514</v>
      </c>
      <c r="F5" s="377">
        <f t="shared" si="1"/>
        <v>0</v>
      </c>
      <c r="G5" s="625"/>
      <c r="H5" s="379" t="str">
        <f t="shared" si="2"/>
        <v>-</v>
      </c>
      <c r="I5" s="365">
        <f t="shared" si="3"/>
        <v>2.99</v>
      </c>
      <c r="J5" s="380" t="str">
        <f>'9. Weighting'!E15</f>
        <v>Bi</v>
      </c>
      <c r="K5" s="381" t="str">
        <f>'9. Weighting'!G15</f>
        <v>bitte einfügen</v>
      </c>
      <c r="L5" s="381">
        <f>IFERROR(VLOOKUP(J5,'10. Industry'!$A$4:$P$32,16,FALSE),'3. Calc'!C104)</f>
        <v>1</v>
      </c>
      <c r="M5" s="381" t="e">
        <f>VLOOKUP(L5,'9. Weighting'!$F$49:$H$53,3,FALSE)</f>
        <v>#N/A</v>
      </c>
      <c r="N5" s="382" t="e">
        <f>M5*H5</f>
        <v>#N/A</v>
      </c>
      <c r="O5" s="381">
        <f>IFERROR(VLOOKUP(J5,'10. Industry'!$A$4:$N$32,5,FALSE),'3. Calc'!C104)</f>
        <v>1</v>
      </c>
      <c r="P5" s="381" t="e">
        <f>VLOOKUP(O5,'9. Weighting'!$F$49:$H$53,3,FALSE)</f>
        <v>#N/A</v>
      </c>
      <c r="Q5" s="383" t="e">
        <f>P5*H5</f>
        <v>#N/A</v>
      </c>
    </row>
    <row r="6" spans="1:17" ht="9.75" customHeight="1">
      <c r="A6" s="367" t="s">
        <v>226</v>
      </c>
      <c r="B6" s="624"/>
      <c r="C6" s="374">
        <f>'9. Weighting'!I16</f>
        <v>0</v>
      </c>
      <c r="D6" s="375" t="str">
        <f>'9. Weighting'!H16</f>
        <v>Bitte Auswählen</v>
      </c>
      <c r="E6" s="376">
        <f t="shared" si="0"/>
        <v>1.0030456687149514</v>
      </c>
      <c r="F6" s="377">
        <f t="shared" si="1"/>
        <v>0</v>
      </c>
      <c r="G6" s="625"/>
      <c r="H6" s="379" t="str">
        <f t="shared" si="2"/>
        <v>-</v>
      </c>
      <c r="I6" s="365">
        <f t="shared" si="3"/>
        <v>2.99</v>
      </c>
      <c r="J6" s="380" t="str">
        <f>'9. Weighting'!E16</f>
        <v>Bi</v>
      </c>
      <c r="K6" s="381" t="str">
        <f>'9. Weighting'!G16</f>
        <v>bitte einfügen</v>
      </c>
      <c r="L6" s="381">
        <f>IFERROR(VLOOKUP(J6,'10. Industry'!$A$4:$P$32,16,FALSE),'3. Calc'!C104)</f>
        <v>1</v>
      </c>
      <c r="M6" s="381" t="e">
        <f>VLOOKUP(L6,'9. Weighting'!$F$49:$H$53,3,FALSE)</f>
        <v>#N/A</v>
      </c>
      <c r="N6" s="382" t="e">
        <f>M6*H6</f>
        <v>#N/A</v>
      </c>
      <c r="O6" s="381">
        <f>IFERROR(VLOOKUP(J6,'10. Industry'!$A$4:$N$32,5,FALSE),'3. Calc'!C104)</f>
        <v>1</v>
      </c>
      <c r="P6" s="381" t="e">
        <f>VLOOKUP(O6,'9. Weighting'!$F$49:$H$53,3,FALSE)</f>
        <v>#N/A</v>
      </c>
      <c r="Q6" s="383" t="e">
        <f>P6*H6</f>
        <v>#N/A</v>
      </c>
    </row>
    <row r="7" spans="1:17" ht="12" customHeight="1">
      <c r="A7" s="367" t="s">
        <v>227</v>
      </c>
      <c r="B7" s="624"/>
      <c r="C7" s="374">
        <f>'9. Weighting'!I17</f>
        <v>0</v>
      </c>
      <c r="D7" s="375" t="str">
        <f>'9. Weighting'!H17</f>
        <v>Bitte Auswählen</v>
      </c>
      <c r="E7" s="376">
        <f t="shared" si="0"/>
        <v>1.0030456687149514</v>
      </c>
      <c r="F7" s="377">
        <f t="shared" si="1"/>
        <v>0</v>
      </c>
      <c r="G7" s="625"/>
      <c r="H7" s="379" t="str">
        <f t="shared" si="2"/>
        <v>-</v>
      </c>
      <c r="I7" s="365">
        <f t="shared" si="3"/>
        <v>2.99</v>
      </c>
      <c r="J7" s="380" t="str">
        <f>'9. Weighting'!E17</f>
        <v>Bi</v>
      </c>
      <c r="K7" s="381" t="str">
        <f>'9. Weighting'!G17</f>
        <v>bitte einfügen</v>
      </c>
      <c r="L7" s="381">
        <f>IFERROR(VLOOKUP(J7,'10. Industry'!$A$4:$P$32,16,FALSE),'3. Calc'!C104)</f>
        <v>1</v>
      </c>
      <c r="M7" s="381" t="e">
        <f>VLOOKUP(L7,'9. Weighting'!$F$49:$H$53,3,FALSE)</f>
        <v>#N/A</v>
      </c>
      <c r="N7" s="382" t="e">
        <f>M7*H7</f>
        <v>#N/A</v>
      </c>
      <c r="O7" s="381">
        <f>IFERROR(VLOOKUP(J7,'10. Industry'!$A$4:$N$32,5,FALSE),'3. Calc'!C104)</f>
        <v>1</v>
      </c>
      <c r="P7" s="381" t="e">
        <f>VLOOKUP(O7,'9. Weighting'!$F$49:$H$53,3,FALSE)</f>
        <v>#N/A</v>
      </c>
      <c r="Q7" s="383" t="e">
        <f>P7*H7</f>
        <v>#N/A</v>
      </c>
    </row>
    <row r="8" spans="1:17" ht="17.100000000000001" customHeight="1">
      <c r="A8" s="384" t="s">
        <v>228</v>
      </c>
      <c r="B8" s="624"/>
      <c r="C8" s="385">
        <f>'9. Weighting'!I18</f>
        <v>0</v>
      </c>
      <c r="D8" s="386" t="str">
        <f>'9. Weighting'!H18</f>
        <v>Bitte Auswählen</v>
      </c>
      <c r="E8" s="376">
        <f t="shared" si="0"/>
        <v>1.0030456687149514</v>
      </c>
      <c r="F8" s="378">
        <f t="shared" si="1"/>
        <v>0</v>
      </c>
      <c r="G8" s="625"/>
      <c r="H8" s="379" t="str">
        <f t="shared" si="2"/>
        <v>-</v>
      </c>
      <c r="I8" s="365">
        <f t="shared" si="3"/>
        <v>2.99</v>
      </c>
      <c r="J8" s="626" t="s">
        <v>229</v>
      </c>
      <c r="K8" s="626"/>
      <c r="L8" s="626"/>
      <c r="M8" s="626"/>
      <c r="N8" s="387">
        <f>IFERROR((SUM(N3:N7)*1)/SUM(H3:H7),1)</f>
        <v>1</v>
      </c>
      <c r="O8" s="388"/>
      <c r="P8" s="388"/>
      <c r="Q8" s="387">
        <f>IFERROR((SUM(Q3:Q7)*1)/SUM(H3:H7),1)</f>
        <v>1</v>
      </c>
    </row>
    <row r="9" spans="1:17" ht="11.1" customHeight="1">
      <c r="A9" s="389"/>
      <c r="B9" s="390"/>
      <c r="C9" s="390"/>
      <c r="D9" s="390"/>
      <c r="E9" s="391"/>
      <c r="F9" s="390"/>
      <c r="G9" s="390"/>
      <c r="H9" s="379"/>
      <c r="I9" s="392">
        <f>IFERROR(I3*H3+I4*H4+I5*H5+I6*H6+I7*H7+I8*H8,I21)</f>
        <v>0</v>
      </c>
    </row>
    <row r="10" spans="1:17" ht="11.1" customHeight="1">
      <c r="A10" s="393" t="s">
        <v>230</v>
      </c>
      <c r="B10" s="394">
        <f>'9. Weighting'!I25</f>
        <v>0</v>
      </c>
      <c r="C10" s="395">
        <f>'2. Company Facts'!D30</f>
        <v>0</v>
      </c>
      <c r="D10" s="396" t="str">
        <f>'2. Company Facts'!B30</f>
        <v>Bitte Auswählen</v>
      </c>
      <c r="E10" s="376">
        <f>IFERROR(VLOOKUP(D10,$A$22:$G$400,3,FALSE),$C$243)</f>
        <v>1.0030456687149514</v>
      </c>
      <c r="F10" s="397">
        <f>C10*E10*B10</f>
        <v>0</v>
      </c>
      <c r="G10" s="397">
        <f>F10+F11+F12+F13</f>
        <v>0</v>
      </c>
      <c r="H10" s="398">
        <f>SUM(H3:H8)</f>
        <v>0</v>
      </c>
      <c r="I10" s="365">
        <f>IFERROR(VLOOKUP(D10,$A$21:$I$134,6,FALSE),I28)</f>
        <v>0</v>
      </c>
    </row>
    <row r="11" spans="1:17" ht="9.75" customHeight="1">
      <c r="A11" s="399"/>
      <c r="B11" s="400"/>
      <c r="C11" s="395">
        <f>'2. Company Facts'!D31</f>
        <v>0</v>
      </c>
      <c r="D11" s="396" t="str">
        <f>'2. Company Facts'!B31</f>
        <v>Bitte Auswählen</v>
      </c>
      <c r="E11" s="376">
        <f>IFERROR(VLOOKUP(D11,$A$22:$G$400,3,FALSE),$C$243)</f>
        <v>1.0030456687149514</v>
      </c>
      <c r="F11" s="397">
        <f>C11*E11*B10</f>
        <v>0</v>
      </c>
      <c r="G11" s="390"/>
      <c r="H11" s="398"/>
      <c r="I11" s="365">
        <f>IFERROR(VLOOKUP(D11,$A$21:$I$134,6,FALSE),I29)</f>
        <v>0</v>
      </c>
    </row>
    <row r="12" spans="1:17" ht="9.75" customHeight="1">
      <c r="A12" s="399"/>
      <c r="B12" s="400"/>
      <c r="C12" s="395">
        <f>'2. Company Facts'!D32</f>
        <v>0</v>
      </c>
      <c r="D12" s="396" t="str">
        <f>'2. Company Facts'!B32</f>
        <v>Bitte Auswählen</v>
      </c>
      <c r="E12" s="376">
        <f>IFERROR(VLOOKUP(D12,$A$22:$G$400,3,FALSE),$C$243)</f>
        <v>1.0030456687149514</v>
      </c>
      <c r="F12" s="397">
        <f>C12*E12*B10</f>
        <v>0</v>
      </c>
      <c r="G12" s="390"/>
      <c r="H12" s="398"/>
      <c r="I12" s="365">
        <f>IFERROR(VLOOKUP(D12,$A$21:$I$134,6,FALSE),I30)</f>
        <v>0</v>
      </c>
    </row>
    <row r="13" spans="1:17" ht="9.75" customHeight="1">
      <c r="A13" s="399"/>
      <c r="B13" s="400"/>
      <c r="C13" s="401">
        <f>1-C10-C11-C12</f>
        <v>1</v>
      </c>
      <c r="D13" s="400" t="str">
        <f>A21</f>
        <v>Country Code</v>
      </c>
      <c r="E13" s="376">
        <f>IFERROR(VLOOKUP(D13,$A$22:$G$400,3,FALSE),$C$243)</f>
        <v>1.0030456687149514</v>
      </c>
      <c r="F13" s="397">
        <f>C13*E13*B10</f>
        <v>0</v>
      </c>
      <c r="G13" s="390"/>
      <c r="H13" s="398"/>
      <c r="I13" s="365">
        <f>IFERROR(VLOOKUP(D13,$A$21:$I$134,9,FALSE),"0")</f>
        <v>0</v>
      </c>
    </row>
    <row r="14" spans="1:17" ht="9.75" customHeight="1">
      <c r="A14" s="365" t="s">
        <v>231</v>
      </c>
      <c r="I14" s="402">
        <f>I10*C10+I11*C11+I12*C12+I13*C13</f>
        <v>0</v>
      </c>
    </row>
    <row r="17" spans="1:10" ht="25.5" customHeight="1">
      <c r="A17" s="403" t="s">
        <v>232</v>
      </c>
      <c r="B17" s="403"/>
      <c r="C17" s="403"/>
      <c r="D17" s="403"/>
      <c r="E17" s="403"/>
      <c r="F17" s="403"/>
      <c r="G17" s="403"/>
      <c r="H17" s="403"/>
    </row>
    <row r="18" spans="1:10" ht="9.75" customHeight="1">
      <c r="A18" s="404" t="s">
        <v>233</v>
      </c>
      <c r="B18" s="404" t="s">
        <v>234</v>
      </c>
      <c r="C18" s="404"/>
      <c r="D18" s="404"/>
      <c r="E18" s="404"/>
      <c r="F18" s="404"/>
      <c r="G18" s="404"/>
      <c r="H18" s="405"/>
    </row>
    <row r="19" spans="1:10" ht="9.75" customHeight="1">
      <c r="A19" s="404" t="s">
        <v>235</v>
      </c>
      <c r="B19" s="406" t="s">
        <v>236</v>
      </c>
      <c r="C19" s="406"/>
      <c r="D19" s="404"/>
      <c r="E19" s="407" t="s">
        <v>237</v>
      </c>
      <c r="F19" s="408"/>
      <c r="G19" s="404"/>
      <c r="H19" s="405" t="s">
        <v>238</v>
      </c>
    </row>
    <row r="20" spans="1:10" ht="9.75" customHeight="1">
      <c r="A20" s="404"/>
      <c r="B20" s="404"/>
      <c r="C20" s="404"/>
      <c r="D20" s="404"/>
      <c r="E20" s="404"/>
      <c r="F20" s="404"/>
      <c r="G20" s="404"/>
      <c r="H20" s="405"/>
    </row>
    <row r="21" spans="1:10" ht="9.75" customHeight="1">
      <c r="A21" s="409" t="s">
        <v>239</v>
      </c>
      <c r="B21" s="409" t="s">
        <v>240</v>
      </c>
      <c r="C21" s="410" t="s">
        <v>3035</v>
      </c>
      <c r="D21" s="410"/>
      <c r="E21" s="409" t="s">
        <v>112</v>
      </c>
      <c r="F21" s="410" t="s">
        <v>3036</v>
      </c>
      <c r="G21" s="411"/>
      <c r="H21" s="412"/>
      <c r="I21" s="413"/>
      <c r="J21" s="413" t="s">
        <v>241</v>
      </c>
    </row>
    <row r="22" spans="1:10" ht="9.75" customHeight="1">
      <c r="A22" s="411" t="str">
        <f>'12.lan'!D339</f>
        <v>ABW Aruba</v>
      </c>
      <c r="B22" s="411" t="s">
        <v>242</v>
      </c>
      <c r="C22" s="414">
        <v>1.5393770180999498</v>
      </c>
      <c r="D22" s="525">
        <v>2017</v>
      </c>
      <c r="E22" s="411" t="s">
        <v>244</v>
      </c>
      <c r="F22" s="414">
        <v>3.52</v>
      </c>
      <c r="G22" s="414" t="s">
        <v>243</v>
      </c>
      <c r="H22" s="366"/>
      <c r="I22" s="413"/>
      <c r="J22" s="411" t="s">
        <v>245</v>
      </c>
    </row>
    <row r="23" spans="1:10" ht="9.75" customHeight="1">
      <c r="A23" s="411" t="str">
        <f>'12.lan'!D340</f>
        <v>AFG Afghanistan</v>
      </c>
      <c r="B23" s="411" t="s">
        <v>246</v>
      </c>
      <c r="C23" s="414">
        <v>3.4673948654718481</v>
      </c>
      <c r="D23" s="525" t="s">
        <v>153</v>
      </c>
      <c r="E23" s="411" t="s">
        <v>247</v>
      </c>
      <c r="F23" s="414">
        <v>5</v>
      </c>
      <c r="G23" s="414" t="s">
        <v>243</v>
      </c>
      <c r="H23" s="366"/>
      <c r="I23" s="413"/>
      <c r="J23" s="411" t="s">
        <v>248</v>
      </c>
    </row>
    <row r="24" spans="1:10" ht="9.75" customHeight="1">
      <c r="A24" s="411" t="str">
        <f>'12.lan'!D341</f>
        <v>AGO Angola</v>
      </c>
      <c r="B24" s="411" t="s">
        <v>249</v>
      </c>
      <c r="C24" s="414">
        <v>1.9978683824205976</v>
      </c>
      <c r="D24" s="525" t="s">
        <v>153</v>
      </c>
      <c r="E24" s="411" t="s">
        <v>250</v>
      </c>
      <c r="F24" s="414">
        <v>4</v>
      </c>
      <c r="G24" s="414"/>
      <c r="H24" s="412"/>
      <c r="I24" s="413"/>
      <c r="J24" s="411" t="s">
        <v>251</v>
      </c>
    </row>
    <row r="25" spans="1:10" ht="9.75" customHeight="1">
      <c r="A25" s="411" t="str">
        <f>'12.lan'!D342</f>
        <v>ALB Albanien</v>
      </c>
      <c r="B25" s="411" t="s">
        <v>252</v>
      </c>
      <c r="C25" s="414">
        <v>2.6310494251530692</v>
      </c>
      <c r="D25" s="525" t="s">
        <v>153</v>
      </c>
      <c r="E25" s="411" t="s">
        <v>253</v>
      </c>
      <c r="F25" s="414">
        <v>3</v>
      </c>
      <c r="G25" s="414"/>
      <c r="H25" s="415"/>
      <c r="I25" s="413"/>
      <c r="J25" s="411" t="s">
        <v>254</v>
      </c>
    </row>
    <row r="26" spans="1:10" ht="9.75" customHeight="1">
      <c r="A26" s="411" t="str">
        <f>'12.lan'!D343</f>
        <v>AND Andorra</v>
      </c>
      <c r="B26" s="411" t="s">
        <v>255</v>
      </c>
      <c r="C26" s="414">
        <v>1.0331402674066741</v>
      </c>
      <c r="D26" s="525" t="s">
        <v>243</v>
      </c>
      <c r="E26" s="411" t="s">
        <v>253</v>
      </c>
      <c r="F26" s="414">
        <v>2.5499999999999998</v>
      </c>
      <c r="G26" s="414" t="s">
        <v>243</v>
      </c>
      <c r="H26" s="416"/>
      <c r="I26" s="413"/>
      <c r="J26" s="411" t="s">
        <v>256</v>
      </c>
    </row>
    <row r="27" spans="1:10" ht="9.75" customHeight="1">
      <c r="A27" s="411" t="str">
        <f>'12.lan'!D344</f>
        <v>ARE Vereinigte Arabische Emirate</v>
      </c>
      <c r="B27" s="411" t="s">
        <v>257</v>
      </c>
      <c r="C27" s="414">
        <v>1.8408719718495921</v>
      </c>
      <c r="D27" s="525" t="s">
        <v>153</v>
      </c>
      <c r="E27" s="411" t="s">
        <v>247</v>
      </c>
      <c r="F27" s="414">
        <v>5</v>
      </c>
      <c r="G27" s="414"/>
      <c r="H27" s="416"/>
      <c r="I27" s="413"/>
      <c r="J27" s="411" t="s">
        <v>258</v>
      </c>
    </row>
    <row r="28" spans="1:10" ht="9.75" customHeight="1">
      <c r="A28" s="411" t="str">
        <f>'12.lan'!D345</f>
        <v>ARG Argentinien</v>
      </c>
      <c r="B28" s="411" t="s">
        <v>259</v>
      </c>
      <c r="C28" s="414">
        <v>2.0521283416695084</v>
      </c>
      <c r="D28" s="525" t="s">
        <v>153</v>
      </c>
      <c r="E28" s="411" t="s">
        <v>244</v>
      </c>
      <c r="F28" s="414">
        <v>4</v>
      </c>
      <c r="G28" s="414"/>
      <c r="H28" s="415"/>
      <c r="J28" s="411" t="s">
        <v>260</v>
      </c>
    </row>
    <row r="29" spans="1:10" ht="9.75" customHeight="1">
      <c r="A29" s="411" t="str">
        <f>'12.lan'!D346</f>
        <v>ARM Armenien</v>
      </c>
      <c r="B29" s="411" t="s">
        <v>261</v>
      </c>
      <c r="C29" s="414">
        <v>2.3471442323557876</v>
      </c>
      <c r="D29" s="525" t="s">
        <v>153</v>
      </c>
      <c r="E29" s="411" t="s">
        <v>247</v>
      </c>
      <c r="F29" s="414">
        <v>4.47</v>
      </c>
      <c r="G29" s="414" t="s">
        <v>243</v>
      </c>
      <c r="H29" s="415"/>
      <c r="J29" s="411" t="s">
        <v>262</v>
      </c>
    </row>
    <row r="30" spans="1:10" ht="9.75" customHeight="1">
      <c r="A30" s="411" t="str">
        <f>'12.lan'!D347</f>
        <v>ASM Amerikanisch-Samoa</v>
      </c>
      <c r="B30" s="411" t="s">
        <v>263</v>
      </c>
      <c r="C30" s="414">
        <v>1.4985868712925843</v>
      </c>
      <c r="D30" s="525" t="s">
        <v>243</v>
      </c>
      <c r="E30" s="411" t="s">
        <v>264</v>
      </c>
      <c r="F30" s="414">
        <v>4.05</v>
      </c>
      <c r="G30" s="414"/>
      <c r="H30" s="415"/>
      <c r="J30" s="411" t="s">
        <v>265</v>
      </c>
    </row>
    <row r="31" spans="1:10" ht="9.75" customHeight="1">
      <c r="A31" s="411" t="str">
        <f>'12.lan'!D348</f>
        <v>ATG Antigua und Barbuda</v>
      </c>
      <c r="B31" s="411" t="s">
        <v>266</v>
      </c>
      <c r="C31" s="414">
        <v>1.7752454029572589</v>
      </c>
      <c r="D31" s="525" t="s">
        <v>153</v>
      </c>
      <c r="E31" s="411" t="s">
        <v>244</v>
      </c>
      <c r="F31" s="414">
        <v>3.52</v>
      </c>
      <c r="G31" s="414" t="s">
        <v>243</v>
      </c>
      <c r="H31" s="415"/>
      <c r="J31" s="411" t="s">
        <v>267</v>
      </c>
    </row>
    <row r="32" spans="1:10" ht="9.75" customHeight="1">
      <c r="A32" s="411" t="str">
        <f>'12.lan'!D349</f>
        <v>AUS Australien</v>
      </c>
      <c r="B32" s="411" t="s">
        <v>268</v>
      </c>
      <c r="C32" s="414">
        <v>0.90888933214971579</v>
      </c>
      <c r="D32" s="525" t="s">
        <v>153</v>
      </c>
      <c r="E32" s="411" t="s">
        <v>264</v>
      </c>
      <c r="F32" s="414">
        <v>3</v>
      </c>
      <c r="G32" s="414" t="s">
        <v>243</v>
      </c>
      <c r="H32" s="415"/>
      <c r="J32" s="411" t="s">
        <v>269</v>
      </c>
    </row>
    <row r="33" spans="1:10" ht="9.75" customHeight="1">
      <c r="A33" s="411" t="str">
        <f>'12.lan'!D350</f>
        <v>AUT Österreich</v>
      </c>
      <c r="B33" s="411" t="s">
        <v>270</v>
      </c>
      <c r="C33" s="414">
        <v>1.1086532023707585</v>
      </c>
      <c r="D33" s="525" t="s">
        <v>153</v>
      </c>
      <c r="E33" s="411" t="s">
        <v>253</v>
      </c>
      <c r="F33" s="414">
        <v>1</v>
      </c>
      <c r="G33" s="414"/>
      <c r="H33" s="415"/>
      <c r="J33" s="411" t="s">
        <v>271</v>
      </c>
    </row>
    <row r="34" spans="1:10" ht="9.75" customHeight="1">
      <c r="A34" s="411" t="str">
        <f>'12.lan'!D351</f>
        <v>AZE Aserbaidschan</v>
      </c>
      <c r="B34" s="411" t="s">
        <v>272</v>
      </c>
      <c r="C34" s="414">
        <v>3.1277796044517552</v>
      </c>
      <c r="D34" s="525" t="s">
        <v>153</v>
      </c>
      <c r="E34" s="411" t="s">
        <v>247</v>
      </c>
      <c r="F34" s="414">
        <v>4.47</v>
      </c>
      <c r="G34" s="414" t="s">
        <v>243</v>
      </c>
      <c r="H34" s="415"/>
      <c r="J34" s="411" t="s">
        <v>273</v>
      </c>
    </row>
    <row r="35" spans="1:10" ht="9.75" customHeight="1">
      <c r="A35" s="411" t="str">
        <f>'12.lan'!D352</f>
        <v>BDI Burundi</v>
      </c>
      <c r="B35" s="411" t="s">
        <v>274</v>
      </c>
      <c r="C35" s="414">
        <v>3.5302047151250671</v>
      </c>
      <c r="D35" s="525" t="s">
        <v>153</v>
      </c>
      <c r="E35" s="411" t="s">
        <v>250</v>
      </c>
      <c r="F35" s="414">
        <v>6</v>
      </c>
      <c r="G35" s="414" t="s">
        <v>243</v>
      </c>
      <c r="H35" s="415"/>
      <c r="J35" s="411" t="s">
        <v>275</v>
      </c>
    </row>
    <row r="36" spans="1:10" ht="9.75" customHeight="1">
      <c r="A36" s="411" t="str">
        <f>'12.lan'!D353</f>
        <v>BEL Belgien</v>
      </c>
      <c r="B36" s="411" t="s">
        <v>276</v>
      </c>
      <c r="C36" s="414">
        <v>1.0899264390119239</v>
      </c>
      <c r="D36" s="525" t="s">
        <v>153</v>
      </c>
      <c r="E36" s="411" t="s">
        <v>253</v>
      </c>
      <c r="F36" s="414">
        <v>2</v>
      </c>
      <c r="G36" s="414"/>
      <c r="H36" s="366"/>
      <c r="J36" s="411" t="s">
        <v>277</v>
      </c>
    </row>
    <row r="37" spans="1:10" ht="9.75" customHeight="1">
      <c r="A37" s="411" t="str">
        <f>'12.lan'!D354</f>
        <v>BEN Benin</v>
      </c>
      <c r="B37" s="411" t="s">
        <v>278</v>
      </c>
      <c r="C37" s="414">
        <v>2.7025848562229897</v>
      </c>
      <c r="D37" s="525" t="s">
        <v>153</v>
      </c>
      <c r="E37" s="411" t="s">
        <v>250</v>
      </c>
      <c r="F37" s="414">
        <v>4</v>
      </c>
      <c r="G37" s="414" t="s">
        <v>243</v>
      </c>
      <c r="H37" s="366"/>
      <c r="J37" s="411" t="s">
        <v>279</v>
      </c>
    </row>
    <row r="38" spans="1:10" ht="9.75" customHeight="1">
      <c r="A38" s="411" t="str">
        <f>'12.lan'!D355</f>
        <v>BFA Burkina Faso</v>
      </c>
      <c r="B38" s="411" t="s">
        <v>280</v>
      </c>
      <c r="C38" s="414">
        <v>2.7876175661031235</v>
      </c>
      <c r="D38" s="525" t="s">
        <v>153</v>
      </c>
      <c r="E38" s="411" t="s">
        <v>250</v>
      </c>
      <c r="F38" s="414">
        <v>3</v>
      </c>
      <c r="G38" s="414" t="s">
        <v>243</v>
      </c>
      <c r="H38" s="366"/>
      <c r="J38" s="411" t="s">
        <v>281</v>
      </c>
    </row>
    <row r="39" spans="1:10" ht="9.75" customHeight="1">
      <c r="A39" s="411" t="str">
        <f>'12.lan'!D356</f>
        <v>BGD Bangladesch</v>
      </c>
      <c r="B39" s="411" t="s">
        <v>282</v>
      </c>
      <c r="C39" s="414">
        <v>3.6333908652937112</v>
      </c>
      <c r="D39" s="525" t="s">
        <v>153</v>
      </c>
      <c r="E39" s="411" t="s">
        <v>247</v>
      </c>
      <c r="F39" s="414">
        <v>5</v>
      </c>
      <c r="G39" s="414"/>
      <c r="H39" s="366"/>
      <c r="J39" s="411" t="s">
        <v>283</v>
      </c>
    </row>
    <row r="40" spans="1:10" ht="9.75" customHeight="1">
      <c r="A40" s="411" t="str">
        <f>'12.lan'!D357</f>
        <v>BGR Bulgarien</v>
      </c>
      <c r="B40" s="411" t="s">
        <v>284</v>
      </c>
      <c r="C40" s="414">
        <v>2.5384498085523663</v>
      </c>
      <c r="D40" s="525" t="s">
        <v>153</v>
      </c>
      <c r="E40" s="411" t="s">
        <v>253</v>
      </c>
      <c r="F40" s="414">
        <v>3</v>
      </c>
      <c r="G40" s="414"/>
      <c r="H40" s="366"/>
      <c r="J40" s="411" t="s">
        <v>285</v>
      </c>
    </row>
    <row r="41" spans="1:10" ht="9.75" customHeight="1">
      <c r="A41" s="411" t="str">
        <f>'12.lan'!D358</f>
        <v>BHR Bahrain</v>
      </c>
      <c r="B41" s="411" t="s">
        <v>286</v>
      </c>
      <c r="C41" s="414">
        <v>2.2064625467072263</v>
      </c>
      <c r="D41" s="525" t="s">
        <v>153</v>
      </c>
      <c r="E41" s="411" t="s">
        <v>247</v>
      </c>
      <c r="F41" s="414">
        <v>5</v>
      </c>
      <c r="G41" s="414"/>
      <c r="H41" s="366"/>
      <c r="J41" s="411" t="s">
        <v>287</v>
      </c>
    </row>
    <row r="42" spans="1:10" ht="9.75" customHeight="1">
      <c r="A42" s="411" t="str">
        <f>'12.lan'!D359</f>
        <v>BHS Bahamas</v>
      </c>
      <c r="B42" s="411" t="s">
        <v>288</v>
      </c>
      <c r="C42" s="414">
        <v>1.1770469424860193</v>
      </c>
      <c r="D42" s="525" t="s">
        <v>153</v>
      </c>
      <c r="E42" s="411" t="s">
        <v>244</v>
      </c>
      <c r="F42" s="414">
        <v>3</v>
      </c>
      <c r="G42" s="414" t="s">
        <v>243</v>
      </c>
      <c r="H42" s="366"/>
      <c r="J42" s="411" t="s">
        <v>289</v>
      </c>
    </row>
    <row r="43" spans="1:10" ht="9.75" customHeight="1">
      <c r="A43" s="411" t="str">
        <f>'12.lan'!D360</f>
        <v>BIH Bosnien und Herzegowina</v>
      </c>
      <c r="B43" s="411" t="s">
        <v>290</v>
      </c>
      <c r="C43" s="414">
        <v>2.4242501999056532</v>
      </c>
      <c r="D43" s="525" t="s">
        <v>153</v>
      </c>
      <c r="E43" s="411" t="s">
        <v>253</v>
      </c>
      <c r="F43" s="414">
        <v>4</v>
      </c>
      <c r="G43" s="414"/>
      <c r="H43" s="366"/>
      <c r="J43" s="411" t="s">
        <v>291</v>
      </c>
    </row>
    <row r="44" spans="1:10" ht="9.75" customHeight="1">
      <c r="A44" s="411" t="str">
        <f>'12.lan'!D361</f>
        <v>BLR Belarus</v>
      </c>
      <c r="B44" s="411" t="s">
        <v>292</v>
      </c>
      <c r="C44" s="414">
        <v>2.9646093888283525</v>
      </c>
      <c r="D44" s="525" t="s">
        <v>153</v>
      </c>
      <c r="E44" s="411" t="s">
        <v>253</v>
      </c>
      <c r="F44" s="414">
        <v>5</v>
      </c>
      <c r="G44" s="414"/>
      <c r="H44" s="366"/>
      <c r="J44" s="411" t="s">
        <v>293</v>
      </c>
    </row>
    <row r="45" spans="1:10" ht="9.75" customHeight="1">
      <c r="A45" s="411" t="str">
        <f>'12.lan'!D362</f>
        <v>BLZ Belize</v>
      </c>
      <c r="B45" s="411" t="s">
        <v>294</v>
      </c>
      <c r="C45" s="414">
        <v>2.0353237754932962</v>
      </c>
      <c r="D45" s="525" t="s">
        <v>153</v>
      </c>
      <c r="E45" s="411" t="s">
        <v>244</v>
      </c>
      <c r="F45" s="414">
        <v>3</v>
      </c>
      <c r="G45" s="414" t="s">
        <v>243</v>
      </c>
      <c r="H45" s="366"/>
      <c r="J45" s="411" t="s">
        <v>295</v>
      </c>
    </row>
    <row r="46" spans="1:10" ht="9.75" customHeight="1">
      <c r="A46" s="411" t="str">
        <f>'12.lan'!D363</f>
        <v>BMU Bermuda</v>
      </c>
      <c r="B46" s="411" t="s">
        <v>296</v>
      </c>
      <c r="C46" s="414">
        <v>1.0030456687149514</v>
      </c>
      <c r="D46" s="525" t="s">
        <v>243</v>
      </c>
      <c r="E46" s="411" t="s">
        <v>244</v>
      </c>
      <c r="F46" s="414">
        <v>3.52</v>
      </c>
      <c r="G46" s="414" t="s">
        <v>243</v>
      </c>
      <c r="H46" s="366"/>
      <c r="J46" s="411" t="s">
        <v>297</v>
      </c>
    </row>
    <row r="47" spans="1:10" ht="9.75" customHeight="1">
      <c r="A47" s="411" t="str">
        <f>'12.lan'!D364</f>
        <v>BOL Bolivien</v>
      </c>
      <c r="B47" s="411" t="s">
        <v>298</v>
      </c>
      <c r="C47" s="414">
        <v>3.0760427555263341</v>
      </c>
      <c r="D47" s="525" t="s">
        <v>153</v>
      </c>
      <c r="E47" s="411" t="s">
        <v>244</v>
      </c>
      <c r="F47" s="414">
        <v>3</v>
      </c>
      <c r="G47" s="414"/>
      <c r="H47" s="366"/>
      <c r="J47" s="411" t="s">
        <v>299</v>
      </c>
    </row>
    <row r="48" spans="1:10" ht="9.75" customHeight="1">
      <c r="A48" s="411" t="str">
        <f>'12.lan'!D365</f>
        <v>BRA Brasilien</v>
      </c>
      <c r="B48" s="411" t="s">
        <v>300</v>
      </c>
      <c r="C48" s="414">
        <v>1.4598266676778162</v>
      </c>
      <c r="D48" s="525" t="s">
        <v>153</v>
      </c>
      <c r="E48" s="411" t="s">
        <v>244</v>
      </c>
      <c r="F48" s="414">
        <v>5</v>
      </c>
      <c r="G48" s="414"/>
      <c r="H48" s="366"/>
      <c r="J48" s="411" t="s">
        <v>301</v>
      </c>
    </row>
    <row r="49" spans="1:10" ht="9.75" customHeight="1">
      <c r="A49" s="411" t="str">
        <f>'12.lan'!D366</f>
        <v>BRB Barbados</v>
      </c>
      <c r="B49" s="411" t="s">
        <v>302</v>
      </c>
      <c r="C49" s="414">
        <v>1.1583269849078761</v>
      </c>
      <c r="D49" s="525" t="s">
        <v>153</v>
      </c>
      <c r="E49" s="411" t="s">
        <v>244</v>
      </c>
      <c r="F49" s="414">
        <v>2</v>
      </c>
      <c r="G49" s="414" t="s">
        <v>243</v>
      </c>
      <c r="H49" s="366"/>
      <c r="J49" s="411" t="s">
        <v>303</v>
      </c>
    </row>
    <row r="50" spans="1:10" ht="9.75" customHeight="1">
      <c r="A50" s="411" t="str">
        <f>'12.lan'!D367</f>
        <v>BRN Brunei Darussalam</v>
      </c>
      <c r="B50" s="411" t="s">
        <v>304</v>
      </c>
      <c r="C50" s="414">
        <v>2.57404930341752</v>
      </c>
      <c r="D50" s="525" t="s">
        <v>153</v>
      </c>
      <c r="E50" s="411" t="s">
        <v>247</v>
      </c>
      <c r="F50" s="414">
        <v>4.47</v>
      </c>
      <c r="G50" s="414" t="s">
        <v>243</v>
      </c>
      <c r="H50" s="366"/>
      <c r="J50" s="411" t="s">
        <v>305</v>
      </c>
    </row>
    <row r="51" spans="1:10" ht="9.75" customHeight="1">
      <c r="A51" s="411" t="str">
        <f>'12.lan'!D368</f>
        <v>BTN Bhutan</v>
      </c>
      <c r="B51" s="411" t="s">
        <v>306</v>
      </c>
      <c r="C51" s="414">
        <v>3.2506173645282406</v>
      </c>
      <c r="D51" s="525" t="s">
        <v>153</v>
      </c>
      <c r="E51" s="411" t="s">
        <v>247</v>
      </c>
      <c r="F51" s="414">
        <v>4.47</v>
      </c>
      <c r="G51" s="414" t="s">
        <v>243</v>
      </c>
      <c r="H51" s="366"/>
      <c r="J51" s="411" t="s">
        <v>307</v>
      </c>
    </row>
    <row r="52" spans="1:10" ht="9.75" customHeight="1">
      <c r="A52" s="411" t="str">
        <f>'12.lan'!D369</f>
        <v>BWA Botswana</v>
      </c>
      <c r="B52" s="411" t="s">
        <v>308</v>
      </c>
      <c r="C52" s="414">
        <v>2.3179879641264609</v>
      </c>
      <c r="D52" s="525" t="s">
        <v>153</v>
      </c>
      <c r="E52" s="411" t="s">
        <v>250</v>
      </c>
      <c r="F52" s="414">
        <v>4</v>
      </c>
      <c r="G52" s="414"/>
      <c r="H52" s="366"/>
      <c r="J52" s="411" t="s">
        <v>309</v>
      </c>
    </row>
    <row r="53" spans="1:10" ht="9.75" customHeight="1">
      <c r="A53" s="411" t="str">
        <f>'12.lan'!D370</f>
        <v>CAF Zentralafrikanische Republik</v>
      </c>
      <c r="B53" s="411" t="s">
        <v>310</v>
      </c>
      <c r="C53" s="414">
        <v>2.2689876935089193</v>
      </c>
      <c r="D53" s="525" t="s">
        <v>153</v>
      </c>
      <c r="E53" s="411" t="s">
        <v>250</v>
      </c>
      <c r="F53" s="414">
        <v>6</v>
      </c>
      <c r="G53" s="414" t="s">
        <v>243</v>
      </c>
      <c r="H53" s="366"/>
      <c r="J53" s="411" t="s">
        <v>311</v>
      </c>
    </row>
    <row r="54" spans="1:10" ht="9.75" customHeight="1">
      <c r="A54" s="411" t="str">
        <f>'12.lan'!D371</f>
        <v>CAN Kanada</v>
      </c>
      <c r="B54" s="411" t="s">
        <v>312</v>
      </c>
      <c r="C54" s="414">
        <v>0.93653738034464029</v>
      </c>
      <c r="D54" s="525" t="s">
        <v>153</v>
      </c>
      <c r="E54" s="411" t="s">
        <v>244</v>
      </c>
      <c r="F54" s="414">
        <v>3</v>
      </c>
      <c r="G54" s="414"/>
      <c r="H54" s="366"/>
      <c r="I54" s="417"/>
      <c r="J54" s="411" t="s">
        <v>313</v>
      </c>
    </row>
    <row r="55" spans="1:10" ht="9.75" customHeight="1">
      <c r="A55" s="411" t="str">
        <f>'12.lan'!D372</f>
        <v>CHE Schweiz (Confoederatio Helvetica)</v>
      </c>
      <c r="B55" s="411" t="s">
        <v>314</v>
      </c>
      <c r="C55" s="414">
        <v>0.85919958856456613</v>
      </c>
      <c r="D55" s="525" t="s">
        <v>153</v>
      </c>
      <c r="E55" s="411" t="s">
        <v>253</v>
      </c>
      <c r="F55" s="414">
        <v>2</v>
      </c>
      <c r="G55" s="414" t="s">
        <v>243</v>
      </c>
      <c r="H55" s="366"/>
      <c r="J55" s="411" t="s">
        <v>315</v>
      </c>
    </row>
    <row r="56" spans="1:10" ht="9.75" customHeight="1">
      <c r="A56" s="411" t="str">
        <f>'12.lan'!D373</f>
        <v>CHL Chile</v>
      </c>
      <c r="B56" s="411" t="s">
        <v>316</v>
      </c>
      <c r="C56" s="414">
        <v>1.6670370466563476</v>
      </c>
      <c r="D56" s="525" t="s">
        <v>153</v>
      </c>
      <c r="E56" s="411" t="s">
        <v>244</v>
      </c>
      <c r="F56" s="414">
        <v>4</v>
      </c>
      <c r="G56" s="414"/>
      <c r="H56" s="366"/>
      <c r="J56" s="411" t="s">
        <v>317</v>
      </c>
    </row>
    <row r="57" spans="1:10" ht="9.75" customHeight="1">
      <c r="A57" s="411" t="str">
        <f>'12.lan'!D374</f>
        <v>CHN China, Volksrepublik</v>
      </c>
      <c r="B57" s="411" t="s">
        <v>318</v>
      </c>
      <c r="C57" s="414">
        <v>2.3523344673583195</v>
      </c>
      <c r="D57" s="525" t="s">
        <v>153</v>
      </c>
      <c r="E57" s="411" t="s">
        <v>247</v>
      </c>
      <c r="F57" s="414">
        <v>5</v>
      </c>
      <c r="G57" s="414"/>
      <c r="H57" s="366"/>
      <c r="J57" s="411" t="s">
        <v>319</v>
      </c>
    </row>
    <row r="58" spans="1:10" ht="9.75" customHeight="1">
      <c r="A58" s="411" t="str">
        <f>'12.lan'!D375</f>
        <v>CIV Côte d’Ivoire (Elfenbeinküste)</v>
      </c>
      <c r="B58" s="411" t="s">
        <v>320</v>
      </c>
      <c r="C58" s="414">
        <v>2.4856580197619582</v>
      </c>
      <c r="D58" s="525" t="s">
        <v>153</v>
      </c>
      <c r="E58" s="411" t="s">
        <v>250</v>
      </c>
      <c r="F58" s="414">
        <v>4</v>
      </c>
      <c r="G58" s="414"/>
      <c r="H58" s="366"/>
      <c r="J58" s="411" t="s">
        <v>321</v>
      </c>
    </row>
    <row r="59" spans="1:10" ht="9.75" customHeight="1">
      <c r="A59" s="411" t="str">
        <f>'12.lan'!D376</f>
        <v>CMR Kamerun</v>
      </c>
      <c r="B59" s="411" t="s">
        <v>322</v>
      </c>
      <c r="C59" s="414">
        <v>2.5222030719002291</v>
      </c>
      <c r="D59" s="525" t="s">
        <v>153</v>
      </c>
      <c r="E59" s="411" t="s">
        <v>250</v>
      </c>
      <c r="F59" s="414">
        <v>4</v>
      </c>
      <c r="G59" s="414"/>
      <c r="H59" s="366"/>
      <c r="J59" s="411" t="s">
        <v>323</v>
      </c>
    </row>
    <row r="60" spans="1:10" ht="9.75" customHeight="1">
      <c r="A60" s="411" t="str">
        <f>'12.lan'!D377</f>
        <v>COD Kongo, Demokratische Republik (ehem. Zaire)</v>
      </c>
      <c r="B60" s="411" t="s">
        <v>324</v>
      </c>
      <c r="C60" s="414">
        <v>2.2261428856799217</v>
      </c>
      <c r="D60" s="525" t="s">
        <v>153</v>
      </c>
      <c r="E60" s="411" t="s">
        <v>250</v>
      </c>
      <c r="F60" s="414">
        <v>2</v>
      </c>
      <c r="G60" s="414"/>
      <c r="H60" s="366"/>
      <c r="J60" s="411" t="s">
        <v>325</v>
      </c>
    </row>
    <row r="61" spans="1:10" ht="9.75" customHeight="1">
      <c r="A61" s="411" t="str">
        <f>'12.lan'!D378</f>
        <v>COG Republik Kongo</v>
      </c>
      <c r="B61" s="411" t="s">
        <v>326</v>
      </c>
      <c r="C61" s="414">
        <v>2.1352573348878523</v>
      </c>
      <c r="D61" s="525" t="s">
        <v>153</v>
      </c>
      <c r="E61" s="411" t="s">
        <v>250</v>
      </c>
      <c r="F61" s="414">
        <v>3.79</v>
      </c>
      <c r="G61" s="414"/>
      <c r="H61" s="366"/>
      <c r="J61" s="411" t="s">
        <v>327</v>
      </c>
    </row>
    <row r="62" spans="1:10" ht="9.75" customHeight="1">
      <c r="A62" s="411" t="str">
        <f>'12.lan'!D379</f>
        <v>COL Kolumbien</v>
      </c>
      <c r="B62" s="411" t="s">
        <v>328</v>
      </c>
      <c r="C62" s="414">
        <v>1.9518235675919102</v>
      </c>
      <c r="D62" s="525" t="s">
        <v>153</v>
      </c>
      <c r="E62" s="411" t="s">
        <v>244</v>
      </c>
      <c r="F62" s="414">
        <v>5</v>
      </c>
      <c r="G62" s="414"/>
      <c r="H62" s="366"/>
      <c r="J62" s="411" t="s">
        <v>329</v>
      </c>
    </row>
    <row r="63" spans="1:10" ht="9.75" customHeight="1">
      <c r="A63" s="411" t="str">
        <f>'12.lan'!D380</f>
        <v>COM Komoren</v>
      </c>
      <c r="B63" s="411" t="s">
        <v>330</v>
      </c>
      <c r="C63" s="414">
        <v>2.0789532636991011</v>
      </c>
      <c r="D63" s="525" t="s">
        <v>153</v>
      </c>
      <c r="E63" s="411" t="s">
        <v>250</v>
      </c>
      <c r="F63" s="414">
        <v>3.79</v>
      </c>
      <c r="G63" s="414" t="s">
        <v>243</v>
      </c>
      <c r="H63" s="366"/>
      <c r="J63" s="411" t="s">
        <v>331</v>
      </c>
    </row>
    <row r="64" spans="1:10" ht="9.75" customHeight="1">
      <c r="A64" s="411" t="str">
        <f>'12.lan'!D381</f>
        <v>CPV Kap Verde</v>
      </c>
      <c r="B64" s="411" t="s">
        <v>332</v>
      </c>
      <c r="C64" s="414">
        <v>1.9826993856655781</v>
      </c>
      <c r="D64" s="525" t="s">
        <v>153</v>
      </c>
      <c r="E64" s="411" t="s">
        <v>250</v>
      </c>
      <c r="F64" s="414">
        <v>3.79</v>
      </c>
      <c r="G64" s="414" t="s">
        <v>243</v>
      </c>
      <c r="H64" s="366"/>
      <c r="J64" s="411" t="s">
        <v>333</v>
      </c>
    </row>
    <row r="65" spans="1:10" ht="9.75" customHeight="1">
      <c r="A65" s="411" t="str">
        <f>'12.lan'!D382</f>
        <v>CRI Costa Rica</v>
      </c>
      <c r="B65" s="411" t="s">
        <v>334</v>
      </c>
      <c r="C65" s="414">
        <v>1.7868102773319259</v>
      </c>
      <c r="D65" s="525" t="s">
        <v>153</v>
      </c>
      <c r="E65" s="411" t="s">
        <v>244</v>
      </c>
      <c r="F65" s="414">
        <v>2</v>
      </c>
      <c r="G65" s="414"/>
      <c r="H65" s="366"/>
      <c r="J65" s="411" t="s">
        <v>335</v>
      </c>
    </row>
    <row r="66" spans="1:10" ht="9.75" customHeight="1">
      <c r="A66" s="411" t="str">
        <f>'12.lan'!D383</f>
        <v>CUB Kuba</v>
      </c>
      <c r="B66" s="411" t="s">
        <v>336</v>
      </c>
      <c r="C66" s="414">
        <v>1.834346114968979</v>
      </c>
      <c r="D66" s="525" t="s">
        <v>243</v>
      </c>
      <c r="E66" s="411" t="s">
        <v>244</v>
      </c>
      <c r="F66" s="414">
        <v>3.52</v>
      </c>
      <c r="G66" s="414" t="s">
        <v>243</v>
      </c>
      <c r="H66" s="366"/>
      <c r="J66" s="411" t="s">
        <v>337</v>
      </c>
    </row>
    <row r="67" spans="1:10" ht="9.75" customHeight="1">
      <c r="A67" s="411" t="str">
        <f>'12.lan'!D384</f>
        <v>CUW Curaçao</v>
      </c>
      <c r="B67" s="411" t="s">
        <v>338</v>
      </c>
      <c r="C67" s="414">
        <v>1.834346114968979</v>
      </c>
      <c r="D67" s="525" t="s">
        <v>243</v>
      </c>
      <c r="E67" s="411" t="s">
        <v>244</v>
      </c>
      <c r="F67" s="414">
        <v>3.52</v>
      </c>
      <c r="G67" s="414" t="s">
        <v>243</v>
      </c>
      <c r="H67" s="366"/>
      <c r="J67" s="411" t="s">
        <v>339</v>
      </c>
    </row>
    <row r="68" spans="1:10" ht="9.75" customHeight="1">
      <c r="A68" s="411" t="str">
        <f>'12.lan'!D385</f>
        <v>CYM Kaimaninseln</v>
      </c>
      <c r="B68" s="411" t="s">
        <v>340</v>
      </c>
      <c r="C68" s="414">
        <v>0.89501403196916274</v>
      </c>
      <c r="D68" s="525">
        <v>2017</v>
      </c>
      <c r="E68" s="411" t="s">
        <v>244</v>
      </c>
      <c r="F68" s="414">
        <v>3.52</v>
      </c>
      <c r="G68" s="414" t="s">
        <v>243</v>
      </c>
      <c r="H68" s="366"/>
      <c r="J68" s="411" t="s">
        <v>341</v>
      </c>
    </row>
    <row r="69" spans="1:10" ht="9.75" customHeight="1">
      <c r="A69" s="411" t="str">
        <f>'12.lan'!D386</f>
        <v>CYP Zypern</v>
      </c>
      <c r="B69" s="411" t="s">
        <v>342</v>
      </c>
      <c r="C69" s="414">
        <v>1.2223340259470399</v>
      </c>
      <c r="D69" s="525" t="s">
        <v>153</v>
      </c>
      <c r="E69" s="411" t="s">
        <v>247</v>
      </c>
      <c r="F69" s="414">
        <v>4.47</v>
      </c>
      <c r="G69" s="414" t="s">
        <v>243</v>
      </c>
      <c r="H69" s="366"/>
      <c r="J69" s="411" t="s">
        <v>343</v>
      </c>
    </row>
    <row r="70" spans="1:10" ht="9.75" customHeight="1">
      <c r="A70" s="411" t="str">
        <f>'12.lan'!D387</f>
        <v>CZE Tschechische Republik</v>
      </c>
      <c r="B70" s="411" t="s">
        <v>344</v>
      </c>
      <c r="C70" s="414">
        <v>1.7014347041832565</v>
      </c>
      <c r="D70" s="525" t="s">
        <v>153</v>
      </c>
      <c r="E70" s="411" t="s">
        <v>253</v>
      </c>
      <c r="F70" s="414">
        <v>2</v>
      </c>
      <c r="G70" s="414"/>
      <c r="H70" s="366"/>
      <c r="J70" s="411" t="s">
        <v>345</v>
      </c>
    </row>
    <row r="71" spans="1:10" ht="9.75" customHeight="1">
      <c r="A71" s="411" t="str">
        <f>'12.lan'!D388</f>
        <v>DEU Deutschland</v>
      </c>
      <c r="B71" s="411" t="s">
        <v>346</v>
      </c>
      <c r="C71" s="414">
        <v>1.1178803033419766</v>
      </c>
      <c r="D71" s="525" t="s">
        <v>153</v>
      </c>
      <c r="E71" s="411" t="s">
        <v>253</v>
      </c>
      <c r="F71" s="414">
        <v>1</v>
      </c>
      <c r="G71" s="414"/>
      <c r="H71" s="366"/>
      <c r="J71" s="411" t="s">
        <v>347</v>
      </c>
    </row>
    <row r="72" spans="1:10" ht="9.75" customHeight="1">
      <c r="A72" s="411" t="str">
        <f>'12.lan'!D389</f>
        <v>DJI Dschibuti</v>
      </c>
      <c r="B72" s="411" t="s">
        <v>348</v>
      </c>
      <c r="C72" s="414">
        <v>2.514550394779445</v>
      </c>
      <c r="D72" s="525" t="s">
        <v>243</v>
      </c>
      <c r="E72" s="411" t="s">
        <v>250</v>
      </c>
      <c r="F72" s="414">
        <v>4</v>
      </c>
      <c r="G72" s="414" t="s">
        <v>243</v>
      </c>
      <c r="H72" s="366"/>
      <c r="J72" s="411" t="s">
        <v>349</v>
      </c>
    </row>
    <row r="73" spans="1:10" ht="9.75" customHeight="1">
      <c r="A73" s="411" t="str">
        <f>'12.lan'!D390</f>
        <v>DMA Dominica</v>
      </c>
      <c r="B73" s="411" t="s">
        <v>350</v>
      </c>
      <c r="C73" s="414">
        <v>1.66257623602982</v>
      </c>
      <c r="D73" s="525" t="s">
        <v>153</v>
      </c>
      <c r="E73" s="411" t="s">
        <v>244</v>
      </c>
      <c r="F73" s="414">
        <v>2</v>
      </c>
      <c r="G73" s="414" t="s">
        <v>243</v>
      </c>
      <c r="H73" s="366"/>
      <c r="J73" s="411" t="s">
        <v>351</v>
      </c>
    </row>
    <row r="74" spans="1:10" ht="9.75" customHeight="1">
      <c r="A74" s="411" t="str">
        <f>'12.lan'!D391</f>
        <v>DNK Dänemark</v>
      </c>
      <c r="B74" s="411" t="s">
        <v>352</v>
      </c>
      <c r="C74" s="414">
        <v>0.87158518994906831</v>
      </c>
      <c r="D74" s="525" t="s">
        <v>153</v>
      </c>
      <c r="E74" s="411" t="s">
        <v>253</v>
      </c>
      <c r="F74" s="414">
        <v>1</v>
      </c>
      <c r="G74" s="414"/>
      <c r="H74" s="366"/>
      <c r="J74" s="411" t="s">
        <v>353</v>
      </c>
    </row>
    <row r="75" spans="1:10" ht="9.75" customHeight="1">
      <c r="A75" s="411" t="str">
        <f>'12.lan'!D392</f>
        <v>DOM Dominikanische Republik</v>
      </c>
      <c r="B75" s="411" t="s">
        <v>354</v>
      </c>
      <c r="C75" s="414">
        <v>2.3056407566549151</v>
      </c>
      <c r="D75" s="525" t="s">
        <v>153</v>
      </c>
      <c r="E75" s="411" t="s">
        <v>244</v>
      </c>
      <c r="F75" s="414">
        <v>2</v>
      </c>
      <c r="G75" s="414"/>
      <c r="H75" s="366"/>
      <c r="J75" s="411" t="s">
        <v>355</v>
      </c>
    </row>
    <row r="76" spans="1:10" ht="9.75" customHeight="1">
      <c r="A76" s="411" t="str">
        <f>'12.lan'!D393</f>
        <v>DZA Algerien</v>
      </c>
      <c r="B76" s="411" t="s">
        <v>356</v>
      </c>
      <c r="C76" s="414">
        <v>3.2494892932790038</v>
      </c>
      <c r="D76" s="525" t="s">
        <v>153</v>
      </c>
      <c r="E76" s="411" t="s">
        <v>250</v>
      </c>
      <c r="F76" s="414">
        <v>5</v>
      </c>
      <c r="G76" s="414"/>
      <c r="H76" s="366"/>
      <c r="J76" s="411" t="s">
        <v>357</v>
      </c>
    </row>
    <row r="77" spans="1:10" ht="9.75" customHeight="1">
      <c r="A77" s="411" t="str">
        <f>'12.lan'!D394</f>
        <v>ECU Ecuador</v>
      </c>
      <c r="B77" s="411" t="s">
        <v>358</v>
      </c>
      <c r="C77" s="414">
        <v>2.2631013315085902</v>
      </c>
      <c r="D77" s="525" t="s">
        <v>153</v>
      </c>
      <c r="E77" s="411" t="s">
        <v>244</v>
      </c>
      <c r="F77" s="414">
        <v>5</v>
      </c>
      <c r="G77" s="414"/>
      <c r="H77" s="366"/>
      <c r="J77" s="411" t="s">
        <v>359</v>
      </c>
    </row>
    <row r="78" spans="1:10" ht="9.75" customHeight="1">
      <c r="A78" s="411" t="str">
        <f>'12.lan'!D395</f>
        <v>EGY Ägypten</v>
      </c>
      <c r="B78" s="411" t="s">
        <v>360</v>
      </c>
      <c r="C78" s="414">
        <v>4.2693338580746198</v>
      </c>
      <c r="D78" s="525" t="s">
        <v>153</v>
      </c>
      <c r="E78" s="411" t="s">
        <v>250</v>
      </c>
      <c r="F78" s="414">
        <v>5</v>
      </c>
      <c r="G78" s="414"/>
      <c r="H78" s="366"/>
      <c r="J78" s="411" t="s">
        <v>361</v>
      </c>
    </row>
    <row r="79" spans="1:10" ht="9.75" customHeight="1">
      <c r="A79" s="411" t="str">
        <f>'12.lan'!D396</f>
        <v>ERI Eritrea</v>
      </c>
      <c r="B79" s="411" t="s">
        <v>362</v>
      </c>
      <c r="C79" s="414">
        <v>2.514550394779445</v>
      </c>
      <c r="D79" s="525" t="s">
        <v>243</v>
      </c>
      <c r="E79" s="411" t="s">
        <v>250</v>
      </c>
      <c r="F79" s="414">
        <v>5</v>
      </c>
      <c r="G79" s="414" t="s">
        <v>243</v>
      </c>
      <c r="H79" s="366"/>
      <c r="J79" s="411" t="s">
        <v>363</v>
      </c>
    </row>
    <row r="80" spans="1:10" ht="9.75" customHeight="1">
      <c r="A80" s="411" t="str">
        <f>'12.lan'!D397</f>
        <v>ESP Spanien</v>
      </c>
      <c r="B80" s="411" t="s">
        <v>364</v>
      </c>
      <c r="C80" s="414">
        <v>1.205339693880032</v>
      </c>
      <c r="D80" s="525" t="s">
        <v>153</v>
      </c>
      <c r="E80" s="411" t="s">
        <v>253</v>
      </c>
      <c r="F80" s="414">
        <v>3</v>
      </c>
      <c r="G80" s="414"/>
      <c r="H80" s="366"/>
      <c r="J80" s="411" t="s">
        <v>365</v>
      </c>
    </row>
    <row r="81" spans="1:10" ht="9.75" customHeight="1">
      <c r="A81" s="411" t="str">
        <f>'12.lan'!D398</f>
        <v>EST Estland</v>
      </c>
      <c r="B81" s="411" t="s">
        <v>366</v>
      </c>
      <c r="C81" s="414">
        <v>1.802823588900454</v>
      </c>
      <c r="D81" s="525" t="s">
        <v>153</v>
      </c>
      <c r="E81" s="411" t="s">
        <v>253</v>
      </c>
      <c r="F81" s="414">
        <v>2</v>
      </c>
      <c r="G81" s="414"/>
      <c r="H81" s="366"/>
      <c r="J81" s="411" t="s">
        <v>367</v>
      </c>
    </row>
    <row r="82" spans="1:10" ht="9.75" customHeight="1">
      <c r="A82" s="411" t="str">
        <f>'12.lan'!D399</f>
        <v>ETH Äthiopien</v>
      </c>
      <c r="B82" s="411" t="s">
        <v>368</v>
      </c>
      <c r="C82" s="414">
        <v>3.5457089832703841</v>
      </c>
      <c r="D82" s="525" t="s">
        <v>153</v>
      </c>
      <c r="E82" s="411" t="s">
        <v>250</v>
      </c>
      <c r="F82" s="414">
        <v>4</v>
      </c>
      <c r="G82" s="414"/>
      <c r="H82" s="366"/>
      <c r="J82" s="411" t="s">
        <v>369</v>
      </c>
    </row>
    <row r="83" spans="1:10" ht="9.75" customHeight="1">
      <c r="A83" s="411" t="str">
        <f>'12.lan'!D400</f>
        <v>FIN Finnland</v>
      </c>
      <c r="B83" s="411" t="s">
        <v>370</v>
      </c>
      <c r="C83" s="414">
        <v>0.99318659849216051</v>
      </c>
      <c r="D83" s="525" t="s">
        <v>153</v>
      </c>
      <c r="E83" s="411" t="s">
        <v>253</v>
      </c>
      <c r="F83" s="414">
        <v>1</v>
      </c>
      <c r="G83" s="414"/>
      <c r="H83" s="366"/>
      <c r="J83" s="411" t="s">
        <v>371</v>
      </c>
    </row>
    <row r="84" spans="1:10" ht="9.75" customHeight="1">
      <c r="A84" s="411" t="str">
        <f>'12.lan'!D401</f>
        <v>FJI Fidschi</v>
      </c>
      <c r="B84" s="411" t="s">
        <v>372</v>
      </c>
      <c r="C84" s="414">
        <v>2.2688294423555617</v>
      </c>
      <c r="D84" s="525" t="s">
        <v>153</v>
      </c>
      <c r="E84" s="411" t="s">
        <v>264</v>
      </c>
      <c r="F84" s="414">
        <v>4</v>
      </c>
      <c r="G84" s="414" t="s">
        <v>243</v>
      </c>
      <c r="H84" s="366"/>
      <c r="J84" s="411" t="s">
        <v>373</v>
      </c>
    </row>
    <row r="85" spans="1:10" ht="9.75" customHeight="1">
      <c r="A85" s="411" t="str">
        <f>'12.lan'!D402</f>
        <v>FRA Frankreich</v>
      </c>
      <c r="B85" s="411" t="s">
        <v>374</v>
      </c>
      <c r="C85" s="414">
        <v>1.038448762631057</v>
      </c>
      <c r="D85" s="525" t="s">
        <v>153</v>
      </c>
      <c r="E85" s="411" t="s">
        <v>253</v>
      </c>
      <c r="F85" s="414">
        <v>2</v>
      </c>
      <c r="G85" s="414"/>
      <c r="H85" s="366"/>
      <c r="J85" s="411" t="s">
        <v>375</v>
      </c>
    </row>
    <row r="86" spans="1:10" ht="9.75" customHeight="1">
      <c r="A86" s="411" t="str">
        <f>'12.lan'!D403</f>
        <v>FRO Färöer</v>
      </c>
      <c r="B86" s="411" t="s">
        <v>376</v>
      </c>
      <c r="C86" s="414">
        <v>1.0331402674066741</v>
      </c>
      <c r="D86" s="525" t="s">
        <v>243</v>
      </c>
      <c r="E86" s="411" t="s">
        <v>253</v>
      </c>
      <c r="F86" s="414">
        <v>2.5499999999999998</v>
      </c>
      <c r="G86" s="414" t="s">
        <v>243</v>
      </c>
      <c r="H86" s="366"/>
      <c r="J86" s="411" t="s">
        <v>377</v>
      </c>
    </row>
    <row r="87" spans="1:10" ht="9.75" customHeight="1">
      <c r="A87" s="411" t="str">
        <f>'12.lan'!D404</f>
        <v>FSM Mikronesien</v>
      </c>
      <c r="B87" s="411" t="s">
        <v>378</v>
      </c>
      <c r="C87" s="414">
        <v>1.3021436228721375</v>
      </c>
      <c r="D87" s="525" t="s">
        <v>153</v>
      </c>
      <c r="E87" s="411" t="s">
        <v>264</v>
      </c>
      <c r="F87" s="414">
        <v>4.05</v>
      </c>
      <c r="G87" s="414" t="s">
        <v>243</v>
      </c>
      <c r="H87" s="366"/>
      <c r="J87" s="411" t="s">
        <v>379</v>
      </c>
    </row>
    <row r="88" spans="1:10" ht="9.75" customHeight="1">
      <c r="A88" s="411" t="str">
        <f>'12.lan'!D405</f>
        <v>GAB Gabun</v>
      </c>
      <c r="B88" s="411" t="s">
        <v>380</v>
      </c>
      <c r="C88" s="414">
        <v>1.9768692823417264</v>
      </c>
      <c r="D88" s="525" t="s">
        <v>153</v>
      </c>
      <c r="E88" s="411" t="s">
        <v>250</v>
      </c>
      <c r="F88" s="414">
        <v>3.79</v>
      </c>
      <c r="G88" s="414" t="s">
        <v>243</v>
      </c>
      <c r="H88" s="366"/>
      <c r="J88" s="411" t="s">
        <v>381</v>
      </c>
    </row>
    <row r="89" spans="1:10" ht="9.75" customHeight="1">
      <c r="A89" s="411" t="str">
        <f>'12.lan'!D406</f>
        <v>GBR Vereinigtes Königreich Großbritannien und Nordirland</v>
      </c>
      <c r="B89" s="411" t="s">
        <v>382</v>
      </c>
      <c r="C89" s="414">
        <v>1.0611426525467755</v>
      </c>
      <c r="D89" s="525" t="s">
        <v>153</v>
      </c>
      <c r="E89" s="411" t="s">
        <v>253</v>
      </c>
      <c r="F89" s="414">
        <v>3</v>
      </c>
      <c r="G89" s="414"/>
      <c r="H89" s="366"/>
      <c r="J89" s="411" t="s">
        <v>383</v>
      </c>
    </row>
    <row r="90" spans="1:10" ht="9.75" customHeight="1">
      <c r="A90" s="411" t="str">
        <f>'12.lan'!D407</f>
        <v>GEO Georgien</v>
      </c>
      <c r="B90" s="411" t="s">
        <v>384</v>
      </c>
      <c r="C90" s="414">
        <v>2.5426400553163391</v>
      </c>
      <c r="D90" s="525" t="s">
        <v>153</v>
      </c>
      <c r="E90" s="411" t="s">
        <v>247</v>
      </c>
      <c r="F90" s="414">
        <v>3</v>
      </c>
      <c r="G90" s="414"/>
      <c r="H90" s="366"/>
      <c r="J90" s="411" t="s">
        <v>385</v>
      </c>
    </row>
    <row r="91" spans="1:10" ht="9.75" customHeight="1">
      <c r="A91" s="411" t="str">
        <f>'12.lan'!D408</f>
        <v>GHA Ghana</v>
      </c>
      <c r="B91" s="411" t="s">
        <v>386</v>
      </c>
      <c r="C91" s="414">
        <v>2.6267393990556638</v>
      </c>
      <c r="D91" s="525" t="s">
        <v>153</v>
      </c>
      <c r="E91" s="411" t="s">
        <v>250</v>
      </c>
      <c r="F91" s="414">
        <v>3</v>
      </c>
      <c r="G91" s="414"/>
      <c r="H91" s="366"/>
      <c r="J91" s="411" t="s">
        <v>387</v>
      </c>
    </row>
    <row r="92" spans="1:10" ht="9.75" customHeight="1">
      <c r="A92" s="411" t="str">
        <f>'12.lan'!D409</f>
        <v>GIB Gibraltar</v>
      </c>
      <c r="B92" s="411" t="s">
        <v>388</v>
      </c>
      <c r="C92" s="414">
        <v>1.0331402674066741</v>
      </c>
      <c r="D92" s="525" t="s">
        <v>243</v>
      </c>
      <c r="E92" s="411" t="s">
        <v>253</v>
      </c>
      <c r="F92" s="414">
        <v>2.5499999999999998</v>
      </c>
      <c r="G92" s="414" t="s">
        <v>243</v>
      </c>
      <c r="H92" s="366"/>
      <c r="J92" s="411" t="s">
        <v>389</v>
      </c>
    </row>
    <row r="93" spans="1:10" ht="9.75" customHeight="1">
      <c r="A93" s="411" t="str">
        <f>'12.lan'!D410</f>
        <v>GIN Guinea</v>
      </c>
      <c r="B93" s="411" t="s">
        <v>390</v>
      </c>
      <c r="C93" s="414">
        <v>2.7930323596726261</v>
      </c>
      <c r="D93" s="525" t="s">
        <v>153</v>
      </c>
      <c r="E93" s="411" t="s">
        <v>250</v>
      </c>
      <c r="F93" s="414">
        <v>3.79</v>
      </c>
      <c r="G93" s="414" t="s">
        <v>243</v>
      </c>
      <c r="H93" s="366"/>
      <c r="J93" s="411" t="s">
        <v>391</v>
      </c>
    </row>
    <row r="94" spans="1:10" ht="9.75" customHeight="1">
      <c r="A94" s="411" t="str">
        <f>'12.lan'!D411</f>
        <v>GMB Gambia</v>
      </c>
      <c r="B94" s="411" t="s">
        <v>392</v>
      </c>
      <c r="C94" s="414">
        <v>3.321579166015443</v>
      </c>
      <c r="D94" s="525" t="s">
        <v>153</v>
      </c>
      <c r="E94" s="411" t="s">
        <v>250</v>
      </c>
      <c r="F94" s="414">
        <v>3.79</v>
      </c>
      <c r="G94" s="414" t="s">
        <v>243</v>
      </c>
      <c r="H94" s="366"/>
      <c r="J94" s="411" t="s">
        <v>393</v>
      </c>
    </row>
    <row r="95" spans="1:10" ht="9.75" customHeight="1">
      <c r="A95" s="411" t="str">
        <f>'12.lan'!D412</f>
        <v>GNB Guinea-Bissau</v>
      </c>
      <c r="B95" s="411" t="s">
        <v>394</v>
      </c>
      <c r="C95" s="414">
        <v>2.8920209554815477</v>
      </c>
      <c r="D95" s="525" t="s">
        <v>153</v>
      </c>
      <c r="E95" s="411" t="s">
        <v>250</v>
      </c>
      <c r="F95" s="414">
        <v>3.79</v>
      </c>
      <c r="G95" s="414" t="s">
        <v>243</v>
      </c>
      <c r="H95" s="366"/>
      <c r="I95" s="417"/>
      <c r="J95" s="411" t="s">
        <v>395</v>
      </c>
    </row>
    <row r="96" spans="1:10" ht="9.75" customHeight="1">
      <c r="A96" s="411" t="str">
        <f>'12.lan'!D413</f>
        <v>GNQ Äquatorialguinea</v>
      </c>
      <c r="B96" s="411" t="s">
        <v>396</v>
      </c>
      <c r="C96" s="414">
        <v>2.2178292932095838</v>
      </c>
      <c r="D96" s="525" t="s">
        <v>153</v>
      </c>
      <c r="E96" s="411" t="s">
        <v>250</v>
      </c>
      <c r="F96" s="414">
        <v>3.79</v>
      </c>
      <c r="G96" s="414" t="s">
        <v>243</v>
      </c>
      <c r="H96" s="366"/>
      <c r="J96" s="411" t="s">
        <v>397</v>
      </c>
    </row>
    <row r="97" spans="1:10" ht="9.75" customHeight="1">
      <c r="A97" s="411" t="str">
        <f>'12.lan'!D414</f>
        <v>GRC Griechenland</v>
      </c>
      <c r="B97" s="411" t="s">
        <v>398</v>
      </c>
      <c r="C97" s="414">
        <v>1.2561357902594681</v>
      </c>
      <c r="D97" s="525" t="s">
        <v>153</v>
      </c>
      <c r="E97" s="411" t="s">
        <v>253</v>
      </c>
      <c r="F97" s="414">
        <v>5</v>
      </c>
      <c r="G97" s="414"/>
      <c r="H97" s="366"/>
      <c r="J97" s="411" t="s">
        <v>399</v>
      </c>
    </row>
    <row r="98" spans="1:10" ht="9.75" customHeight="1">
      <c r="A98" s="411" t="str">
        <f>'12.lan'!D415</f>
        <v>GRD Grenada</v>
      </c>
      <c r="B98" s="411" t="s">
        <v>400</v>
      </c>
      <c r="C98" s="414">
        <v>1.7103101038137645</v>
      </c>
      <c r="D98" s="525" t="s">
        <v>153</v>
      </c>
      <c r="E98" s="411" t="s">
        <v>244</v>
      </c>
      <c r="F98" s="414">
        <v>3.52</v>
      </c>
      <c r="G98" s="414" t="s">
        <v>243</v>
      </c>
      <c r="H98" s="366"/>
      <c r="J98" s="411" t="s">
        <v>401</v>
      </c>
    </row>
    <row r="99" spans="1:10" ht="9.75" customHeight="1">
      <c r="A99" s="411" t="str">
        <f>'12.lan'!D416</f>
        <v>GRL Grönland</v>
      </c>
      <c r="B99" s="411" t="s">
        <v>402</v>
      </c>
      <c r="C99" s="414">
        <v>1.0030456687149514</v>
      </c>
      <c r="D99" s="525" t="s">
        <v>243</v>
      </c>
      <c r="E99" s="411" t="s">
        <v>244</v>
      </c>
      <c r="F99" s="414">
        <v>3.52</v>
      </c>
      <c r="G99" s="414" t="s">
        <v>243</v>
      </c>
      <c r="H99" s="366"/>
      <c r="J99" s="411" t="s">
        <v>403</v>
      </c>
    </row>
    <row r="100" spans="1:10" ht="9.75" customHeight="1">
      <c r="A100" s="411" t="str">
        <f>'12.lan'!D417</f>
        <v>GTM Guatemala</v>
      </c>
      <c r="B100" s="411" t="s">
        <v>404</v>
      </c>
      <c r="C100" s="414">
        <v>2.6779940202361368</v>
      </c>
      <c r="D100" s="525" t="s">
        <v>153</v>
      </c>
      <c r="E100" s="411" t="s">
        <v>244</v>
      </c>
      <c r="F100" s="414">
        <v>5</v>
      </c>
      <c r="G100" s="414"/>
      <c r="H100" s="366"/>
      <c r="J100" s="411" t="s">
        <v>405</v>
      </c>
    </row>
    <row r="101" spans="1:10" ht="9.75" customHeight="1">
      <c r="A101" s="411" t="str">
        <f>'12.lan'!D418</f>
        <v>GUM Guam</v>
      </c>
      <c r="B101" s="411" t="s">
        <v>406</v>
      </c>
      <c r="C101" s="414">
        <v>1.4985868712925843</v>
      </c>
      <c r="D101" s="525" t="s">
        <v>243</v>
      </c>
      <c r="E101" s="411" t="s">
        <v>264</v>
      </c>
      <c r="F101" s="414">
        <v>4.05</v>
      </c>
      <c r="G101" s="414" t="s">
        <v>243</v>
      </c>
      <c r="H101" s="366"/>
      <c r="J101" s="411" t="s">
        <v>407</v>
      </c>
    </row>
    <row r="102" spans="1:10" ht="9.75" customHeight="1">
      <c r="A102" s="411" t="str">
        <f>'12.lan'!D419</f>
        <v>GUY Guyana</v>
      </c>
      <c r="B102" s="411" t="s">
        <v>408</v>
      </c>
      <c r="C102" s="414">
        <v>2.1643906954463876</v>
      </c>
      <c r="D102" s="525" t="s">
        <v>153</v>
      </c>
      <c r="E102" s="411" t="s">
        <v>244</v>
      </c>
      <c r="F102" s="414">
        <v>3.52</v>
      </c>
      <c r="G102" s="414" t="s">
        <v>243</v>
      </c>
      <c r="H102" s="366"/>
      <c r="J102" s="411" t="s">
        <v>409</v>
      </c>
    </row>
    <row r="103" spans="1:10" ht="9.75" customHeight="1">
      <c r="A103" s="411" t="str">
        <f>'12.lan'!D420</f>
        <v>HKG Hongkong</v>
      </c>
      <c r="B103" s="411" t="s">
        <v>410</v>
      </c>
      <c r="C103" s="414">
        <v>1.6656418248795757</v>
      </c>
      <c r="D103" s="525" t="s">
        <v>153</v>
      </c>
      <c r="E103" s="411" t="s">
        <v>247</v>
      </c>
      <c r="F103" s="414">
        <v>5</v>
      </c>
      <c r="G103" s="414"/>
      <c r="H103" s="366"/>
      <c r="J103" s="411" t="s">
        <v>411</v>
      </c>
    </row>
    <row r="104" spans="1:10" ht="9.75" customHeight="1">
      <c r="A104" s="411" t="str">
        <f>'12.lan'!D421</f>
        <v>HND Honduras</v>
      </c>
      <c r="B104" s="411" t="s">
        <v>412</v>
      </c>
      <c r="C104" s="414">
        <v>2.3154629495960402</v>
      </c>
      <c r="D104" s="525" t="s">
        <v>153</v>
      </c>
      <c r="E104" s="411" t="s">
        <v>244</v>
      </c>
      <c r="F104" s="414">
        <v>5</v>
      </c>
      <c r="G104" s="414"/>
      <c r="H104" s="366"/>
      <c r="J104" s="411" t="s">
        <v>413</v>
      </c>
    </row>
    <row r="105" spans="1:10" ht="9.75" customHeight="1">
      <c r="A105" s="411" t="str">
        <f>'12.lan'!D422</f>
        <v>HRV Kroatien</v>
      </c>
      <c r="B105" s="411" t="s">
        <v>414</v>
      </c>
      <c r="C105" s="414">
        <v>1.7357122923778123</v>
      </c>
      <c r="D105" s="525" t="s">
        <v>153</v>
      </c>
      <c r="E105" s="411" t="s">
        <v>253</v>
      </c>
      <c r="F105" s="414">
        <v>2</v>
      </c>
      <c r="G105" s="414"/>
      <c r="H105" s="366"/>
      <c r="J105" s="411" t="s">
        <v>415</v>
      </c>
    </row>
    <row r="106" spans="1:10" ht="9.75" customHeight="1">
      <c r="A106" s="411" t="str">
        <f>'12.lan'!D423</f>
        <v>HTI Haiti</v>
      </c>
      <c r="B106" s="411" t="s">
        <v>416</v>
      </c>
      <c r="C106" s="414">
        <v>2.5559715054848908</v>
      </c>
      <c r="D106" s="525" t="s">
        <v>153</v>
      </c>
      <c r="E106" s="411" t="s">
        <v>244</v>
      </c>
      <c r="F106" s="414">
        <v>4</v>
      </c>
      <c r="G106" s="414" t="s">
        <v>243</v>
      </c>
      <c r="H106" s="366"/>
      <c r="J106" s="411" t="s">
        <v>417</v>
      </c>
    </row>
    <row r="107" spans="1:10" ht="9.75" customHeight="1">
      <c r="A107" s="411" t="str">
        <f>'12.lan'!D424</f>
        <v>HUN Ungarn</v>
      </c>
      <c r="B107" s="411" t="s">
        <v>418</v>
      </c>
      <c r="C107" s="414">
        <v>1.8682709664033588</v>
      </c>
      <c r="D107" s="525" t="s">
        <v>153</v>
      </c>
      <c r="E107" s="411" t="s">
        <v>253</v>
      </c>
      <c r="F107" s="414">
        <v>3</v>
      </c>
      <c r="G107" s="414"/>
      <c r="H107" s="366"/>
      <c r="J107" s="411" t="s">
        <v>419</v>
      </c>
    </row>
    <row r="108" spans="1:10" ht="9.75" customHeight="1">
      <c r="A108" s="411" t="str">
        <f>'12.lan'!D425</f>
        <v>IDN Indonesien</v>
      </c>
      <c r="B108" s="411" t="s">
        <v>420</v>
      </c>
      <c r="C108" s="414">
        <v>3.052667442321185</v>
      </c>
      <c r="D108" s="525" t="s">
        <v>153</v>
      </c>
      <c r="E108" s="411" t="s">
        <v>247</v>
      </c>
      <c r="F108" s="414">
        <v>5</v>
      </c>
      <c r="G108" s="414"/>
      <c r="H108" s="366"/>
      <c r="J108" s="411" t="s">
        <v>421</v>
      </c>
    </row>
    <row r="109" spans="1:10" ht="9.75" customHeight="1">
      <c r="A109" s="411" t="str">
        <f>'12.lan'!D426</f>
        <v>IMN Insel Man</v>
      </c>
      <c r="B109" s="411" t="s">
        <v>422</v>
      </c>
      <c r="C109" s="414">
        <v>3.1582663883155075</v>
      </c>
      <c r="D109" s="525" t="s">
        <v>153</v>
      </c>
      <c r="E109" s="411" t="s">
        <v>253</v>
      </c>
      <c r="F109" s="414">
        <v>2.5499999999999998</v>
      </c>
      <c r="G109" s="414" t="s">
        <v>243</v>
      </c>
      <c r="H109" s="366"/>
      <c r="J109" s="411" t="s">
        <v>423</v>
      </c>
    </row>
    <row r="110" spans="1:10" ht="9.75" customHeight="1">
      <c r="A110" s="411" t="str">
        <f>'12.lan'!D427</f>
        <v>IND Indien</v>
      </c>
      <c r="B110" s="411" t="s">
        <v>424</v>
      </c>
      <c r="C110" s="414">
        <v>3.6952012973943282</v>
      </c>
      <c r="D110" s="525" t="s">
        <v>153</v>
      </c>
      <c r="E110" s="411" t="s">
        <v>247</v>
      </c>
      <c r="F110" s="414">
        <v>5</v>
      </c>
      <c r="G110" s="414"/>
      <c r="H110" s="366"/>
      <c r="J110" s="411" t="s">
        <v>425</v>
      </c>
    </row>
    <row r="111" spans="1:10" ht="9.75" customHeight="1">
      <c r="A111" s="411" t="str">
        <f>'12.lan'!D428</f>
        <v>IRL Irland</v>
      </c>
      <c r="B111" s="411" t="s">
        <v>426</v>
      </c>
      <c r="C111" s="414">
        <v>1.0822388209746381</v>
      </c>
      <c r="D111" s="525" t="s">
        <v>153</v>
      </c>
      <c r="E111" s="411" t="s">
        <v>253</v>
      </c>
      <c r="F111" s="414">
        <v>1</v>
      </c>
      <c r="G111" s="414"/>
      <c r="H111" s="366"/>
      <c r="J111" s="411" t="s">
        <v>427</v>
      </c>
    </row>
    <row r="112" spans="1:10" ht="9.75" customHeight="1">
      <c r="A112" s="411" t="str">
        <f>'12.lan'!D429</f>
        <v>IRN Iran, Islamische Republik</v>
      </c>
      <c r="B112" s="411" t="s">
        <v>428</v>
      </c>
      <c r="C112" s="414">
        <v>3.7335153370245506</v>
      </c>
      <c r="D112" s="525">
        <v>2017</v>
      </c>
      <c r="E112" s="411" t="s">
        <v>247</v>
      </c>
      <c r="F112" s="414">
        <v>5</v>
      </c>
      <c r="G112" s="414"/>
      <c r="H112" s="366"/>
      <c r="J112" s="411" t="s">
        <v>429</v>
      </c>
    </row>
    <row r="113" spans="1:10" ht="9.75" customHeight="1">
      <c r="A113" s="411" t="str">
        <f>'12.lan'!D430</f>
        <v>IRQ Irak</v>
      </c>
      <c r="B113" s="411" t="s">
        <v>430</v>
      </c>
      <c r="C113" s="414">
        <v>3.1830633648787714</v>
      </c>
      <c r="D113" s="525" t="s">
        <v>153</v>
      </c>
      <c r="E113" s="411" t="s">
        <v>247</v>
      </c>
      <c r="F113" s="414">
        <v>5</v>
      </c>
      <c r="G113" s="414"/>
      <c r="H113" s="366"/>
      <c r="I113" s="417"/>
      <c r="J113" s="411" t="s">
        <v>431</v>
      </c>
    </row>
    <row r="114" spans="1:10" ht="9.75" customHeight="1">
      <c r="A114" s="411" t="str">
        <f>'12.lan'!D431</f>
        <v>ISL Island</v>
      </c>
      <c r="B114" s="411" t="s">
        <v>432</v>
      </c>
      <c r="C114" s="414">
        <v>1.0997998864430061</v>
      </c>
      <c r="D114" s="525" t="s">
        <v>153</v>
      </c>
      <c r="E114" s="411" t="s">
        <v>253</v>
      </c>
      <c r="F114" s="414">
        <v>1</v>
      </c>
      <c r="G114" s="414"/>
      <c r="H114" s="366"/>
      <c r="J114" s="411" t="s">
        <v>433</v>
      </c>
    </row>
    <row r="115" spans="1:10" ht="9.75" customHeight="1">
      <c r="A115" s="411" t="str">
        <f>'12.lan'!D432</f>
        <v>ISR Israel</v>
      </c>
      <c r="B115" s="411" t="s">
        <v>434</v>
      </c>
      <c r="C115" s="414">
        <v>1.1488930461127593</v>
      </c>
      <c r="D115" s="525" t="s">
        <v>153</v>
      </c>
      <c r="E115" s="411" t="s">
        <v>247</v>
      </c>
      <c r="F115" s="414">
        <v>2</v>
      </c>
      <c r="G115" s="414"/>
      <c r="H115" s="366"/>
      <c r="J115" s="411" t="s">
        <v>435</v>
      </c>
    </row>
    <row r="116" spans="1:10" ht="9.75" customHeight="1">
      <c r="A116" s="411" t="str">
        <f>'12.lan'!D433</f>
        <v>ITA Italien</v>
      </c>
      <c r="B116" s="411" t="s">
        <v>436</v>
      </c>
      <c r="C116" s="414">
        <v>1.18058804707867</v>
      </c>
      <c r="D116" s="525" t="s">
        <v>153</v>
      </c>
      <c r="E116" s="411" t="s">
        <v>253</v>
      </c>
      <c r="F116" s="414">
        <v>1</v>
      </c>
      <c r="G116" s="414"/>
      <c r="H116" s="366"/>
      <c r="J116" s="411" t="s">
        <v>437</v>
      </c>
    </row>
    <row r="117" spans="1:10" ht="9.75" customHeight="1">
      <c r="A117" s="411" t="str">
        <f>'12.lan'!D434</f>
        <v>JAM Jamaika</v>
      </c>
      <c r="B117" s="411" t="s">
        <v>438</v>
      </c>
      <c r="C117" s="414">
        <v>1.9209393690047585</v>
      </c>
      <c r="D117" s="525" t="s">
        <v>153</v>
      </c>
      <c r="E117" s="411" t="s">
        <v>244</v>
      </c>
      <c r="F117" s="414">
        <v>2</v>
      </c>
      <c r="G117" s="414" t="s">
        <v>243</v>
      </c>
      <c r="H117" s="366"/>
      <c r="J117" s="411" t="s">
        <v>439</v>
      </c>
    </row>
    <row r="118" spans="1:10" ht="9.75" customHeight="1">
      <c r="A118" s="411" t="str">
        <f>'12.lan'!D435</f>
        <v>JOR Jordanien</v>
      </c>
      <c r="B118" s="411" t="s">
        <v>440</v>
      </c>
      <c r="C118" s="414">
        <v>2.9016341425205781</v>
      </c>
      <c r="D118" s="525" t="s">
        <v>153</v>
      </c>
      <c r="E118" s="411" t="s">
        <v>247</v>
      </c>
      <c r="F118" s="414">
        <v>3</v>
      </c>
      <c r="G118" s="414"/>
      <c r="H118" s="366"/>
      <c r="J118" s="411" t="s">
        <v>441</v>
      </c>
    </row>
    <row r="119" spans="1:10" ht="9.75" customHeight="1">
      <c r="A119" s="411" t="str">
        <f>'12.lan'!D436</f>
        <v>JPN Japan</v>
      </c>
      <c r="B119" s="411" t="s">
        <v>442</v>
      </c>
      <c r="C119" s="414">
        <v>0.8748494360690553</v>
      </c>
      <c r="D119" s="525" t="s">
        <v>153</v>
      </c>
      <c r="E119" s="411" t="s">
        <v>247</v>
      </c>
      <c r="F119" s="414">
        <v>2</v>
      </c>
      <c r="G119" s="414"/>
      <c r="H119" s="366"/>
      <c r="J119" s="411" t="s">
        <v>443</v>
      </c>
    </row>
    <row r="120" spans="1:10" ht="9.75" customHeight="1">
      <c r="A120" s="411" t="str">
        <f>'12.lan'!D437</f>
        <v>KAZ Kasachstan</v>
      </c>
      <c r="B120" s="411" t="s">
        <v>444</v>
      </c>
      <c r="C120" s="414">
        <v>2.4969451602388362</v>
      </c>
      <c r="D120" s="525" t="s">
        <v>153</v>
      </c>
      <c r="E120" s="411" t="s">
        <v>247</v>
      </c>
      <c r="F120" s="414">
        <v>5</v>
      </c>
      <c r="G120" s="414" t="s">
        <v>243</v>
      </c>
      <c r="H120" s="366"/>
      <c r="J120" s="411" t="s">
        <v>445</v>
      </c>
    </row>
    <row r="121" spans="1:10" ht="9.75" customHeight="1">
      <c r="A121" s="411" t="str">
        <f>'12.lan'!D438</f>
        <v>KEN Kenia</v>
      </c>
      <c r="B121" s="411" t="s">
        <v>446</v>
      </c>
      <c r="C121" s="414">
        <v>2.884503139532673</v>
      </c>
      <c r="D121" s="525" t="s">
        <v>153</v>
      </c>
      <c r="E121" s="411" t="s">
        <v>250</v>
      </c>
      <c r="F121" s="414">
        <v>4</v>
      </c>
      <c r="G121" s="414"/>
      <c r="H121" s="366"/>
      <c r="J121" s="411" t="s">
        <v>447</v>
      </c>
    </row>
    <row r="122" spans="1:10" ht="9.75" customHeight="1">
      <c r="A122" s="411" t="str">
        <f>'12.lan'!D439</f>
        <v>KGZ Kirgisistan</v>
      </c>
      <c r="B122" s="411" t="s">
        <v>448</v>
      </c>
      <c r="C122" s="414">
        <v>3.5731183746633599</v>
      </c>
      <c r="D122" s="525" t="s">
        <v>153</v>
      </c>
      <c r="E122" s="411" t="s">
        <v>247</v>
      </c>
      <c r="F122" s="414">
        <v>4.47</v>
      </c>
      <c r="G122" s="414" t="s">
        <v>243</v>
      </c>
      <c r="H122" s="366"/>
      <c r="J122" s="411" t="s">
        <v>449</v>
      </c>
    </row>
    <row r="123" spans="1:10" ht="9.75" customHeight="1">
      <c r="A123" s="411" t="str">
        <f>'12.lan'!D440</f>
        <v>KHM Kambodscha</v>
      </c>
      <c r="B123" s="411" t="s">
        <v>450</v>
      </c>
      <c r="C123" s="414">
        <v>3.6188433577730028</v>
      </c>
      <c r="D123" s="525" t="s">
        <v>153</v>
      </c>
      <c r="E123" s="411" t="s">
        <v>247</v>
      </c>
      <c r="F123" s="414">
        <v>5</v>
      </c>
      <c r="G123" s="414"/>
      <c r="H123" s="366"/>
      <c r="J123" s="411" t="s">
        <v>451</v>
      </c>
    </row>
    <row r="124" spans="1:10" ht="9.75" customHeight="1">
      <c r="A124" s="411" t="str">
        <f>'12.lan'!D441</f>
        <v>KIR Kiribati</v>
      </c>
      <c r="B124" s="411" t="s">
        <v>452</v>
      </c>
      <c r="C124" s="414">
        <v>1.3016584596796117</v>
      </c>
      <c r="D124" s="525" t="s">
        <v>153</v>
      </c>
      <c r="E124" s="411" t="s">
        <v>264</v>
      </c>
      <c r="F124" s="414">
        <v>4.05</v>
      </c>
      <c r="G124" s="414" t="s">
        <v>243</v>
      </c>
      <c r="H124" s="366"/>
      <c r="J124" s="411" t="s">
        <v>453</v>
      </c>
    </row>
    <row r="125" spans="1:10" ht="9.75" customHeight="1">
      <c r="A125" s="411" t="str">
        <f>'12.lan'!D442</f>
        <v>KNA St. Kitts und Nevis</v>
      </c>
      <c r="B125" s="411" t="s">
        <v>454</v>
      </c>
      <c r="C125" s="414">
        <v>1.782941921200901</v>
      </c>
      <c r="D125" s="525" t="s">
        <v>153</v>
      </c>
      <c r="E125" s="411" t="s">
        <v>244</v>
      </c>
      <c r="F125" s="414">
        <v>3.52</v>
      </c>
      <c r="G125" s="414" t="s">
        <v>243</v>
      </c>
      <c r="H125" s="366"/>
      <c r="J125" s="411" t="s">
        <v>455</v>
      </c>
    </row>
    <row r="126" spans="1:10" ht="9.75" customHeight="1">
      <c r="A126" s="411" t="str">
        <f>'12.lan'!D443</f>
        <v>KOR Korea, Republik (Südkorea)</v>
      </c>
      <c r="B126" s="411" t="s">
        <v>456</v>
      </c>
      <c r="C126" s="414">
        <v>1.4988365450284866</v>
      </c>
      <c r="D126" s="525" t="s">
        <v>153</v>
      </c>
      <c r="E126" s="411" t="s">
        <v>247</v>
      </c>
      <c r="F126" s="414">
        <v>5</v>
      </c>
      <c r="G126" s="414"/>
      <c r="H126" s="366"/>
      <c r="J126" s="411" t="s">
        <v>457</v>
      </c>
    </row>
    <row r="127" spans="1:10" ht="9.75" customHeight="1">
      <c r="A127" s="411" t="str">
        <f>'12.lan'!D444</f>
        <v>KWT Kuwait</v>
      </c>
      <c r="B127" s="411" t="s">
        <v>458</v>
      </c>
      <c r="C127" s="414">
        <v>2.2015364595636884</v>
      </c>
      <c r="D127" s="525" t="s">
        <v>153</v>
      </c>
      <c r="E127" s="411" t="s">
        <v>247</v>
      </c>
      <c r="F127" s="414">
        <v>5</v>
      </c>
      <c r="G127" s="414" t="s">
        <v>243</v>
      </c>
      <c r="H127" s="366"/>
      <c r="J127" s="411" t="s">
        <v>459</v>
      </c>
    </row>
    <row r="128" spans="1:10" ht="9.75" customHeight="1">
      <c r="A128" s="411" t="str">
        <f>'12.lan'!D445</f>
        <v>LAO Laos, Demokratische Volksrepublik</v>
      </c>
      <c r="B128" s="411" t="s">
        <v>460</v>
      </c>
      <c r="C128" s="414">
        <v>4.1664964328469427</v>
      </c>
      <c r="D128" s="525" t="s">
        <v>153</v>
      </c>
      <c r="E128" s="411" t="s">
        <v>247</v>
      </c>
      <c r="F128" s="414">
        <v>5</v>
      </c>
      <c r="G128" s="414" t="s">
        <v>243</v>
      </c>
      <c r="H128" s="366"/>
      <c r="J128" s="411" t="s">
        <v>461</v>
      </c>
    </row>
    <row r="129" spans="1:10" ht="9.75" customHeight="1">
      <c r="A129" s="411" t="str">
        <f>'12.lan'!D446</f>
        <v>LBN Libanon</v>
      </c>
      <c r="B129" s="411" t="s">
        <v>462</v>
      </c>
      <c r="C129" s="414">
        <v>2.0930553388532713</v>
      </c>
      <c r="D129" s="525" t="s">
        <v>153</v>
      </c>
      <c r="E129" s="411" t="s">
        <v>247</v>
      </c>
      <c r="F129" s="414">
        <v>4</v>
      </c>
      <c r="G129" s="414"/>
      <c r="H129" s="366"/>
      <c r="J129" s="411" t="s">
        <v>463</v>
      </c>
    </row>
    <row r="130" spans="1:10" ht="9.75" customHeight="1">
      <c r="A130" s="411" t="str">
        <f>'12.lan'!D447</f>
        <v>LBR Liberia</v>
      </c>
      <c r="B130" s="411" t="s">
        <v>464</v>
      </c>
      <c r="C130" s="414">
        <v>2.4176960381992112</v>
      </c>
      <c r="D130" s="525" t="s">
        <v>153</v>
      </c>
      <c r="E130" s="411" t="s">
        <v>250</v>
      </c>
      <c r="F130" s="414">
        <v>3</v>
      </c>
      <c r="G130" s="414" t="s">
        <v>243</v>
      </c>
      <c r="H130" s="366"/>
      <c r="J130" s="411" t="s">
        <v>465</v>
      </c>
    </row>
    <row r="131" spans="1:10" ht="9.75" customHeight="1">
      <c r="A131" s="411" t="str">
        <f>'12.lan'!D448</f>
        <v>LBY Libyen</v>
      </c>
      <c r="B131" s="411" t="s">
        <v>466</v>
      </c>
      <c r="C131" s="414">
        <v>2.7550538663770916</v>
      </c>
      <c r="D131" s="525" t="s">
        <v>153</v>
      </c>
      <c r="E131" s="411" t="s">
        <v>250</v>
      </c>
      <c r="F131" s="414">
        <v>6</v>
      </c>
      <c r="G131" s="414"/>
      <c r="H131" s="366"/>
      <c r="J131" s="411" t="s">
        <v>467</v>
      </c>
    </row>
    <row r="132" spans="1:10" ht="9.75" customHeight="1">
      <c r="A132" s="411" t="str">
        <f>'12.lan'!D449</f>
        <v>LCA St. Lucia</v>
      </c>
      <c r="B132" s="411" t="s">
        <v>468</v>
      </c>
      <c r="C132" s="414">
        <v>1.635937257087039</v>
      </c>
      <c r="D132" s="525" t="s">
        <v>153</v>
      </c>
      <c r="E132" s="411" t="s">
        <v>244</v>
      </c>
      <c r="F132" s="414">
        <v>3.52</v>
      </c>
      <c r="G132" s="414" t="s">
        <v>243</v>
      </c>
      <c r="H132" s="366"/>
      <c r="J132" s="411" t="s">
        <v>469</v>
      </c>
    </row>
    <row r="133" spans="1:10" ht="9.75" customHeight="1">
      <c r="A133" s="411" t="str">
        <f>'12.lan'!D450</f>
        <v>LIE Liechtenstein</v>
      </c>
      <c r="B133" s="411" t="s">
        <v>470</v>
      </c>
      <c r="C133" s="414">
        <v>1.0331402674066741</v>
      </c>
      <c r="D133" s="525" t="s">
        <v>243</v>
      </c>
      <c r="E133" s="411" t="s">
        <v>253</v>
      </c>
      <c r="F133" s="414">
        <v>2.5499999999999998</v>
      </c>
      <c r="G133" s="414" t="s">
        <v>243</v>
      </c>
      <c r="H133" s="366"/>
      <c r="J133" s="411" t="s">
        <v>471</v>
      </c>
    </row>
    <row r="134" spans="1:10" ht="9.75" customHeight="1">
      <c r="A134" s="411" t="str">
        <f>'12.lan'!D451</f>
        <v>LKA Sri Lanka</v>
      </c>
      <c r="B134" s="411" t="s">
        <v>472</v>
      </c>
      <c r="C134" s="414">
        <v>3.2842716259501445</v>
      </c>
      <c r="D134" s="525" t="s">
        <v>153</v>
      </c>
      <c r="E134" s="411" t="s">
        <v>247</v>
      </c>
      <c r="F134" s="414">
        <v>4</v>
      </c>
      <c r="G134" s="414"/>
      <c r="J134" s="411" t="s">
        <v>473</v>
      </c>
    </row>
    <row r="135" spans="1:10" ht="9.75" customHeight="1">
      <c r="A135" s="411" t="str">
        <f>'12.lan'!D452</f>
        <v>LSO Lesotho</v>
      </c>
      <c r="B135" s="411" t="s">
        <v>474</v>
      </c>
      <c r="C135" s="414">
        <v>2.4781198555526789</v>
      </c>
      <c r="D135" s="525" t="s">
        <v>153</v>
      </c>
      <c r="E135" s="411" t="s">
        <v>250</v>
      </c>
      <c r="F135" s="414">
        <v>3</v>
      </c>
      <c r="G135" s="414" t="s">
        <v>243</v>
      </c>
      <c r="J135" s="411" t="s">
        <v>475</v>
      </c>
    </row>
    <row r="136" spans="1:10" ht="9.75" customHeight="1">
      <c r="A136" s="411" t="str">
        <f>'12.lan'!D453</f>
        <v>LTU Litauen</v>
      </c>
      <c r="B136" s="411" t="s">
        <v>476</v>
      </c>
      <c r="C136" s="414">
        <v>1.8514385154686119</v>
      </c>
      <c r="D136" s="525" t="s">
        <v>153</v>
      </c>
      <c r="E136" s="411" t="s">
        <v>253</v>
      </c>
      <c r="F136" s="414">
        <v>2</v>
      </c>
      <c r="G136" s="414"/>
      <c r="J136" s="411" t="s">
        <v>477</v>
      </c>
    </row>
    <row r="137" spans="1:10" ht="12.75" customHeight="1">
      <c r="A137" s="411" t="str">
        <f>'12.lan'!D454</f>
        <v>LUX Luxemburg</v>
      </c>
      <c r="B137" s="411" t="s">
        <v>478</v>
      </c>
      <c r="C137" s="414">
        <v>0.97168663646973519</v>
      </c>
      <c r="D137" s="525" t="s">
        <v>153</v>
      </c>
      <c r="E137" s="411" t="s">
        <v>253</v>
      </c>
      <c r="F137" s="414">
        <v>2.5499999999999998</v>
      </c>
      <c r="G137" s="414" t="s">
        <v>243</v>
      </c>
      <c r="H137" s="418"/>
      <c r="I137" s="418"/>
      <c r="J137" s="411" t="s">
        <v>479</v>
      </c>
    </row>
    <row r="138" spans="1:10" ht="9.75" customHeight="1">
      <c r="A138" s="411" t="str">
        <f>'12.lan'!D455</f>
        <v>LVA Lettland</v>
      </c>
      <c r="B138" s="411" t="s">
        <v>480</v>
      </c>
      <c r="C138" s="414">
        <v>1.6967416165349072</v>
      </c>
      <c r="D138" s="525" t="s">
        <v>153</v>
      </c>
      <c r="E138" s="411" t="s">
        <v>253</v>
      </c>
      <c r="F138" s="414">
        <v>2</v>
      </c>
      <c r="G138" s="414"/>
      <c r="H138" s="366"/>
      <c r="J138" s="411" t="s">
        <v>481</v>
      </c>
    </row>
    <row r="139" spans="1:10" ht="9.75" customHeight="1">
      <c r="A139" s="411" t="str">
        <f>'12.lan'!D456</f>
        <v>MAC Macao</v>
      </c>
      <c r="B139" s="411" t="s">
        <v>482</v>
      </c>
      <c r="C139" s="414">
        <v>1.4206426600102828</v>
      </c>
      <c r="D139" s="525" t="s">
        <v>153</v>
      </c>
      <c r="E139" s="411" t="s">
        <v>247</v>
      </c>
      <c r="F139" s="414">
        <v>4.47</v>
      </c>
      <c r="G139" s="414" t="s">
        <v>243</v>
      </c>
      <c r="H139" s="366"/>
      <c r="J139" s="411" t="s">
        <v>483</v>
      </c>
    </row>
    <row r="140" spans="1:10" ht="9.75" customHeight="1">
      <c r="A140" s="411" t="str">
        <f>'12.lan'!D457</f>
        <v>MAF Saint-Martin (franz. Teil)</v>
      </c>
      <c r="B140" s="411" t="s">
        <v>484</v>
      </c>
      <c r="C140" s="414">
        <v>1.0030456687149514</v>
      </c>
      <c r="D140" s="525" t="s">
        <v>243</v>
      </c>
      <c r="E140" s="411" t="s">
        <v>244</v>
      </c>
      <c r="F140" s="414">
        <v>3.52</v>
      </c>
      <c r="G140" s="414" t="s">
        <v>243</v>
      </c>
      <c r="H140" s="366"/>
      <c r="J140" s="411" t="s">
        <v>485</v>
      </c>
    </row>
    <row r="141" spans="1:10" ht="9.75" customHeight="1">
      <c r="A141" s="411" t="str">
        <f>'12.lan'!D458</f>
        <v>MAR Marokko</v>
      </c>
      <c r="B141" s="411" t="s">
        <v>486</v>
      </c>
      <c r="C141" s="414">
        <v>2.6726175090928428</v>
      </c>
      <c r="D141" s="525" t="s">
        <v>153</v>
      </c>
      <c r="E141" s="411" t="s">
        <v>250</v>
      </c>
      <c r="F141" s="414">
        <v>3</v>
      </c>
      <c r="G141" s="414"/>
      <c r="H141" s="366"/>
      <c r="J141" s="411" t="s">
        <v>487</v>
      </c>
    </row>
    <row r="142" spans="1:10" ht="9.75" customHeight="1">
      <c r="A142" s="411" t="str">
        <f>'12.lan'!D459</f>
        <v>MCO Monaco</v>
      </c>
      <c r="B142" s="411" t="s">
        <v>488</v>
      </c>
      <c r="C142" s="414">
        <v>1.0331402674066741</v>
      </c>
      <c r="D142" s="525" t="s">
        <v>243</v>
      </c>
      <c r="E142" s="411" t="s">
        <v>253</v>
      </c>
      <c r="F142" s="414">
        <v>2.5499999999999998</v>
      </c>
      <c r="G142" s="414" t="s">
        <v>243</v>
      </c>
      <c r="H142" s="366"/>
      <c r="J142" s="411" t="s">
        <v>489</v>
      </c>
    </row>
    <row r="143" spans="1:10" ht="9.75" customHeight="1">
      <c r="A143" s="411" t="str">
        <f>'12.lan'!D460</f>
        <v>MDA Moldawien (Republik Moldau)</v>
      </c>
      <c r="B143" s="411" t="s">
        <v>490</v>
      </c>
      <c r="C143" s="414">
        <v>2.2531572674343843</v>
      </c>
      <c r="D143" s="525" t="s">
        <v>153</v>
      </c>
      <c r="E143" s="411" t="s">
        <v>253</v>
      </c>
      <c r="F143" s="414">
        <v>2</v>
      </c>
      <c r="G143" s="414" t="s">
        <v>243</v>
      </c>
      <c r="H143" s="366"/>
      <c r="J143" s="411" t="s">
        <v>491</v>
      </c>
    </row>
    <row r="144" spans="1:10" ht="9.75" customHeight="1">
      <c r="A144" s="411" t="str">
        <f>'12.lan'!D461</f>
        <v>MDG Madagaskar</v>
      </c>
      <c r="B144" s="411" t="s">
        <v>492</v>
      </c>
      <c r="C144" s="414">
        <v>3.5854332894921193</v>
      </c>
      <c r="D144" s="525" t="s">
        <v>153</v>
      </c>
      <c r="E144" s="411" t="s">
        <v>250</v>
      </c>
      <c r="F144" s="414">
        <v>3</v>
      </c>
      <c r="G144" s="414" t="s">
        <v>243</v>
      </c>
      <c r="H144" s="366"/>
      <c r="J144" s="411" t="s">
        <v>493</v>
      </c>
    </row>
    <row r="145" spans="1:10" ht="9.75" customHeight="1">
      <c r="A145" s="411" t="str">
        <f>'12.lan'!D462</f>
        <v>MDV Malediven</v>
      </c>
      <c r="B145" s="411" t="s">
        <v>494</v>
      </c>
      <c r="C145" s="414">
        <v>1.4817821618029678</v>
      </c>
      <c r="D145" s="525" t="s">
        <v>153</v>
      </c>
      <c r="E145" s="411" t="s">
        <v>247</v>
      </c>
      <c r="F145" s="414">
        <v>4.47</v>
      </c>
      <c r="G145" s="414" t="s">
        <v>243</v>
      </c>
      <c r="H145" s="366"/>
      <c r="J145" s="411" t="s">
        <v>495</v>
      </c>
    </row>
    <row r="146" spans="1:10" ht="9.75" customHeight="1">
      <c r="A146" s="411" t="str">
        <f>'12.lan'!D463</f>
        <v>MEX Mexiko</v>
      </c>
      <c r="B146" s="411" t="s">
        <v>496</v>
      </c>
      <c r="C146" s="414">
        <v>2.0514561657854338</v>
      </c>
      <c r="D146" s="525" t="s">
        <v>153</v>
      </c>
      <c r="E146" s="411" t="s">
        <v>244</v>
      </c>
      <c r="F146" s="414">
        <v>4</v>
      </c>
      <c r="G146" s="414"/>
      <c r="H146" s="366"/>
      <c r="J146" s="411" t="s">
        <v>497</v>
      </c>
    </row>
    <row r="147" spans="1:10" ht="9.75" customHeight="1">
      <c r="A147" s="411" t="str">
        <f>'12.lan'!D464</f>
        <v>MHL Marshallinseln</v>
      </c>
      <c r="B147" s="411" t="s">
        <v>498</v>
      </c>
      <c r="C147" s="414">
        <v>1.0530267659439554</v>
      </c>
      <c r="D147" s="525" t="s">
        <v>153</v>
      </c>
      <c r="E147" s="411" t="s">
        <v>264</v>
      </c>
      <c r="F147" s="414">
        <v>4.05</v>
      </c>
      <c r="G147" s="414" t="s">
        <v>243</v>
      </c>
      <c r="H147" s="366"/>
      <c r="J147" s="411" t="s">
        <v>499</v>
      </c>
    </row>
    <row r="148" spans="1:10" ht="9.75" customHeight="1">
      <c r="A148" s="411" t="str">
        <f>'12.lan'!D465</f>
        <v>MKD Mazedonien</v>
      </c>
      <c r="B148" s="411" t="s">
        <v>500</v>
      </c>
      <c r="C148" s="414">
        <v>2.6889246837595864</v>
      </c>
      <c r="D148" s="525" t="s">
        <v>153</v>
      </c>
      <c r="E148" s="411" t="s">
        <v>253</v>
      </c>
      <c r="F148" s="414">
        <v>4</v>
      </c>
      <c r="G148" s="414" t="s">
        <v>243</v>
      </c>
      <c r="H148" s="366"/>
      <c r="J148" s="411" t="s">
        <v>501</v>
      </c>
    </row>
    <row r="149" spans="1:10" ht="9.75" customHeight="1">
      <c r="A149" s="411" t="str">
        <f>'12.lan'!D466</f>
        <v>MLI Mali</v>
      </c>
      <c r="B149" s="411" t="s">
        <v>502</v>
      </c>
      <c r="C149" s="414">
        <v>2.5750343868704619</v>
      </c>
      <c r="D149" s="525" t="s">
        <v>153</v>
      </c>
      <c r="E149" s="411" t="s">
        <v>250</v>
      </c>
      <c r="F149" s="414">
        <v>4</v>
      </c>
      <c r="G149" s="414" t="s">
        <v>243</v>
      </c>
      <c r="H149" s="366"/>
      <c r="J149" s="411" t="s">
        <v>503</v>
      </c>
    </row>
    <row r="150" spans="1:10" ht="9.75" customHeight="1">
      <c r="A150" s="411" t="str">
        <f>'12.lan'!D467</f>
        <v>MLT Malta</v>
      </c>
      <c r="B150" s="411" t="s">
        <v>504</v>
      </c>
      <c r="C150" s="414">
        <v>1.4147351004378084</v>
      </c>
      <c r="D150" s="525" t="s">
        <v>153</v>
      </c>
      <c r="E150" s="411" t="s">
        <v>253</v>
      </c>
      <c r="F150" s="414">
        <v>2.5499999999999998</v>
      </c>
      <c r="G150" s="414" t="s">
        <v>243</v>
      </c>
      <c r="H150" s="366"/>
      <c r="J150" s="411" t="s">
        <v>505</v>
      </c>
    </row>
    <row r="151" spans="1:10" ht="9.75" customHeight="1">
      <c r="A151" s="411" t="str">
        <f>'12.lan'!D468</f>
        <v>MMR Myanmar (Burma)</v>
      </c>
      <c r="B151" s="411" t="s">
        <v>506</v>
      </c>
      <c r="C151" s="414">
        <v>5.0333828056759575</v>
      </c>
      <c r="D151" s="525" t="s">
        <v>153</v>
      </c>
      <c r="E151" s="411" t="s">
        <v>247</v>
      </c>
      <c r="F151" s="414">
        <v>4</v>
      </c>
      <c r="G151" s="414"/>
      <c r="H151" s="366"/>
      <c r="J151" s="411" t="s">
        <v>507</v>
      </c>
    </row>
    <row r="152" spans="1:10" ht="9.75" customHeight="1">
      <c r="A152" s="411" t="str">
        <f>'12.lan'!D469</f>
        <v>MNE Montenegro</v>
      </c>
      <c r="B152" s="411" t="s">
        <v>508</v>
      </c>
      <c r="C152" s="414">
        <v>2.3393749834409423</v>
      </c>
      <c r="D152" s="525" t="s">
        <v>153</v>
      </c>
      <c r="E152" s="411" t="s">
        <v>253</v>
      </c>
      <c r="F152" s="414">
        <v>2</v>
      </c>
      <c r="G152" s="414" t="s">
        <v>243</v>
      </c>
      <c r="H152" s="366"/>
      <c r="J152" s="411" t="s">
        <v>509</v>
      </c>
    </row>
    <row r="153" spans="1:10" ht="9.75" customHeight="1">
      <c r="A153" s="411" t="str">
        <f>'12.lan'!D470</f>
        <v>MNG Mongolei</v>
      </c>
      <c r="B153" s="411" t="s">
        <v>510</v>
      </c>
      <c r="C153" s="414">
        <v>3.3480836191538326</v>
      </c>
      <c r="D153" s="525" t="s">
        <v>153</v>
      </c>
      <c r="E153" s="411" t="s">
        <v>247</v>
      </c>
      <c r="F153" s="414">
        <v>4.47</v>
      </c>
      <c r="G153" s="414" t="s">
        <v>243</v>
      </c>
      <c r="H153" s="366"/>
      <c r="J153" s="411" t="s">
        <v>511</v>
      </c>
    </row>
    <row r="154" spans="1:10" ht="9.75" customHeight="1">
      <c r="A154" s="411" t="str">
        <f>'12.lan'!D471</f>
        <v>MNP Nördliche Marianen</v>
      </c>
      <c r="B154" s="411" t="s">
        <v>512</v>
      </c>
      <c r="C154" s="414">
        <v>1.4985868712925843</v>
      </c>
      <c r="D154" s="525" t="s">
        <v>243</v>
      </c>
      <c r="E154" s="411" t="s">
        <v>264</v>
      </c>
      <c r="F154" s="414">
        <v>4.05</v>
      </c>
      <c r="G154" s="414" t="s">
        <v>243</v>
      </c>
      <c r="H154" s="366"/>
      <c r="J154" s="411" t="s">
        <v>513</v>
      </c>
    </row>
    <row r="155" spans="1:10" ht="9.75" customHeight="1">
      <c r="A155" s="411" t="str">
        <f>'12.lan'!D472</f>
        <v>MOZ Mosambik</v>
      </c>
      <c r="B155" s="411" t="s">
        <v>514</v>
      </c>
      <c r="C155" s="414">
        <v>2.925498126791934</v>
      </c>
      <c r="D155" s="525" t="s">
        <v>153</v>
      </c>
      <c r="E155" s="411" t="s">
        <v>250</v>
      </c>
      <c r="F155" s="414">
        <v>3</v>
      </c>
      <c r="G155" s="414"/>
      <c r="H155" s="366"/>
      <c r="J155" s="411" t="s">
        <v>515</v>
      </c>
    </row>
    <row r="156" spans="1:10" ht="9.75" customHeight="1">
      <c r="A156" s="411" t="str">
        <f>'12.lan'!D473</f>
        <v>MRT Mauretanien</v>
      </c>
      <c r="B156" s="411" t="s">
        <v>516</v>
      </c>
      <c r="C156" s="414">
        <v>3.4916255713805282</v>
      </c>
      <c r="D156" s="525" t="s">
        <v>153</v>
      </c>
      <c r="E156" s="411" t="s">
        <v>250</v>
      </c>
      <c r="F156" s="414">
        <v>4</v>
      </c>
      <c r="G156" s="414" t="s">
        <v>243</v>
      </c>
      <c r="H156" s="366"/>
      <c r="J156" s="411" t="s">
        <v>517</v>
      </c>
    </row>
    <row r="157" spans="1:10" ht="9.75" customHeight="1">
      <c r="A157" s="411" t="str">
        <f>'12.lan'!D474</f>
        <v>MUS Mauritius</v>
      </c>
      <c r="B157" s="411" t="s">
        <v>518</v>
      </c>
      <c r="C157" s="414">
        <v>2.1133234572217758</v>
      </c>
      <c r="D157" s="525" t="s">
        <v>153</v>
      </c>
      <c r="E157" s="411" t="s">
        <v>250</v>
      </c>
      <c r="F157" s="414">
        <v>3</v>
      </c>
      <c r="G157" s="414" t="s">
        <v>243</v>
      </c>
      <c r="H157" s="366"/>
      <c r="J157" s="411" t="s">
        <v>519</v>
      </c>
    </row>
    <row r="158" spans="1:10" ht="9.75" customHeight="1">
      <c r="A158" s="411" t="str">
        <f>'12.lan'!D475</f>
        <v>MWI Malawi</v>
      </c>
      <c r="B158" s="411" t="s">
        <v>520</v>
      </c>
      <c r="C158" s="414">
        <v>3.3667236177253614</v>
      </c>
      <c r="D158" s="525" t="s">
        <v>153</v>
      </c>
      <c r="E158" s="411" t="s">
        <v>250</v>
      </c>
      <c r="F158" s="414">
        <v>2</v>
      </c>
      <c r="G158" s="414" t="s">
        <v>243</v>
      </c>
      <c r="H158" s="366"/>
      <c r="J158" s="411" t="s">
        <v>521</v>
      </c>
    </row>
    <row r="159" spans="1:10" ht="9.75" customHeight="1">
      <c r="A159" s="411" t="str">
        <f>'12.lan'!D476</f>
        <v>MYS Malaysia</v>
      </c>
      <c r="B159" s="411" t="s">
        <v>522</v>
      </c>
      <c r="C159" s="414">
        <v>2.7944695540958651</v>
      </c>
      <c r="D159" s="525" t="s">
        <v>153</v>
      </c>
      <c r="E159" s="411" t="s">
        <v>247</v>
      </c>
      <c r="F159" s="414">
        <v>4</v>
      </c>
      <c r="G159" s="414"/>
      <c r="H159" s="366"/>
      <c r="J159" s="411" t="s">
        <v>523</v>
      </c>
    </row>
    <row r="160" spans="1:10" ht="9.75" customHeight="1">
      <c r="A160" s="411" t="str">
        <f>'12.lan'!D477</f>
        <v>NAM Namibia</v>
      </c>
      <c r="B160" s="411" t="s">
        <v>524</v>
      </c>
      <c r="C160" s="414">
        <v>1.871687194220534</v>
      </c>
      <c r="D160" s="525" t="s">
        <v>153</v>
      </c>
      <c r="E160" s="411" t="s">
        <v>250</v>
      </c>
      <c r="F160" s="414">
        <v>3</v>
      </c>
      <c r="G160" s="414"/>
      <c r="H160" s="366"/>
      <c r="J160" s="411" t="s">
        <v>525</v>
      </c>
    </row>
    <row r="161" spans="1:10" ht="9.75" customHeight="1">
      <c r="A161" s="411" t="str">
        <f>'12.lan'!D478</f>
        <v>NCL Neukaledonien</v>
      </c>
      <c r="B161" s="411" t="s">
        <v>526</v>
      </c>
      <c r="C161" s="414">
        <v>1.4985868712925843</v>
      </c>
      <c r="D161" s="525" t="s">
        <v>243</v>
      </c>
      <c r="E161" s="411" t="s">
        <v>264</v>
      </c>
      <c r="F161" s="414">
        <v>4.05</v>
      </c>
      <c r="G161" s="414" t="s">
        <v>243</v>
      </c>
      <c r="H161" s="366"/>
      <c r="J161" s="411" t="s">
        <v>527</v>
      </c>
    </row>
    <row r="162" spans="1:10" ht="9.75" customHeight="1">
      <c r="A162" s="411" t="str">
        <f>'12.lan'!D479</f>
        <v>NER Niger</v>
      </c>
      <c r="B162" s="411" t="s">
        <v>528</v>
      </c>
      <c r="C162" s="414">
        <v>2.5687739923792727</v>
      </c>
      <c r="D162" s="525" t="s">
        <v>153</v>
      </c>
      <c r="E162" s="411" t="s">
        <v>250</v>
      </c>
      <c r="F162" s="414">
        <v>3.79</v>
      </c>
      <c r="G162" s="414" t="s">
        <v>243</v>
      </c>
      <c r="H162" s="366"/>
      <c r="J162" s="411" t="s">
        <v>529</v>
      </c>
    </row>
    <row r="163" spans="1:10" ht="9.75" customHeight="1">
      <c r="A163" s="411" t="str">
        <f>'12.lan'!D480</f>
        <v>NGA Nigeria</v>
      </c>
      <c r="B163" s="411" t="s">
        <v>530</v>
      </c>
      <c r="C163" s="414">
        <v>2.9538032190358798</v>
      </c>
      <c r="D163" s="525" t="s">
        <v>153</v>
      </c>
      <c r="E163" s="411" t="s">
        <v>250</v>
      </c>
      <c r="F163" s="414">
        <v>4</v>
      </c>
      <c r="G163" s="414"/>
      <c r="H163" s="366"/>
      <c r="J163" s="411" t="s">
        <v>531</v>
      </c>
    </row>
    <row r="164" spans="1:10" ht="9.75" customHeight="1">
      <c r="A164" s="411" t="str">
        <f>'12.lan'!D481</f>
        <v>NIC Nicaragua</v>
      </c>
      <c r="B164" s="411" t="s">
        <v>532</v>
      </c>
      <c r="C164" s="414">
        <v>2.7273721562037339</v>
      </c>
      <c r="D164" s="525" t="s">
        <v>153</v>
      </c>
      <c r="E164" s="411" t="s">
        <v>244</v>
      </c>
      <c r="F164" s="414">
        <v>3.52</v>
      </c>
      <c r="G164" s="414" t="s">
        <v>243</v>
      </c>
      <c r="H164" s="366"/>
      <c r="J164" s="411" t="s">
        <v>533</v>
      </c>
    </row>
    <row r="165" spans="1:10" ht="9.75" customHeight="1">
      <c r="A165" s="411" t="str">
        <f>'12.lan'!D482</f>
        <v>NLD Niederlande</v>
      </c>
      <c r="B165" s="411" t="s">
        <v>534</v>
      </c>
      <c r="C165" s="414">
        <v>1.0623279690828258</v>
      </c>
      <c r="D165" s="525" t="s">
        <v>153</v>
      </c>
      <c r="E165" s="411" t="s">
        <v>253</v>
      </c>
      <c r="F165" s="414">
        <v>1</v>
      </c>
      <c r="G165" s="414"/>
      <c r="H165" s="366"/>
      <c r="J165" s="411" t="s">
        <v>535</v>
      </c>
    </row>
    <row r="166" spans="1:10" ht="9.75" customHeight="1">
      <c r="A166" s="411" t="str">
        <f>'12.lan'!D483</f>
        <v>NOR Norwegen</v>
      </c>
      <c r="B166" s="411" t="s">
        <v>536</v>
      </c>
      <c r="C166" s="414">
        <v>0.80187017916535686</v>
      </c>
      <c r="D166" s="525" t="s">
        <v>153</v>
      </c>
      <c r="E166" s="411" t="s">
        <v>253</v>
      </c>
      <c r="F166" s="414">
        <v>1</v>
      </c>
      <c r="G166" s="414"/>
      <c r="H166" s="366"/>
      <c r="J166" s="411" t="s">
        <v>537</v>
      </c>
    </row>
    <row r="167" spans="1:10" ht="9.75" customHeight="1">
      <c r="A167" s="411" t="str">
        <f>'12.lan'!D484</f>
        <v>NPL Nepal</v>
      </c>
      <c r="B167" s="411" t="s">
        <v>538</v>
      </c>
      <c r="C167" s="414">
        <v>2.9882185957628882</v>
      </c>
      <c r="D167" s="525" t="s">
        <v>153</v>
      </c>
      <c r="E167" s="411" t="s">
        <v>247</v>
      </c>
      <c r="F167" s="414">
        <v>3</v>
      </c>
      <c r="G167" s="414"/>
      <c r="H167" s="366"/>
      <c r="J167" s="411" t="s">
        <v>539</v>
      </c>
    </row>
    <row r="168" spans="1:10" ht="9.75" customHeight="1">
      <c r="A168" s="411" t="str">
        <f>'12.lan'!D485</f>
        <v>NRU Nauru</v>
      </c>
      <c r="B168" s="411" t="s">
        <v>540</v>
      </c>
      <c r="C168" s="414">
        <v>1.6689691083595983</v>
      </c>
      <c r="D168" s="525" t="s">
        <v>153</v>
      </c>
      <c r="E168" s="411" t="s">
        <v>264</v>
      </c>
      <c r="F168" s="414">
        <v>4.05</v>
      </c>
      <c r="G168" s="414" t="s">
        <v>243</v>
      </c>
      <c r="H168" s="366"/>
      <c r="J168" s="411" t="s">
        <v>541</v>
      </c>
    </row>
    <row r="169" spans="1:10" ht="9.75" customHeight="1">
      <c r="A169" s="411" t="str">
        <f>'12.lan'!D486</f>
        <v>NZL Neuseeland</v>
      </c>
      <c r="B169" s="411" t="s">
        <v>542</v>
      </c>
      <c r="C169" s="414">
        <v>0.9775920046140385</v>
      </c>
      <c r="D169" s="525" t="s">
        <v>153</v>
      </c>
      <c r="E169" s="411" t="s">
        <v>264</v>
      </c>
      <c r="F169" s="414">
        <v>2</v>
      </c>
      <c r="G169" s="414" t="s">
        <v>243</v>
      </c>
      <c r="H169" s="366"/>
      <c r="J169" s="411" t="s">
        <v>543</v>
      </c>
    </row>
    <row r="170" spans="1:10" ht="9.75" customHeight="1">
      <c r="A170" s="411" t="str">
        <f>'12.lan'!D487</f>
        <v>OMN Oman</v>
      </c>
      <c r="B170" s="411" t="s">
        <v>544</v>
      </c>
      <c r="C170" s="414">
        <v>2.5500781849125738</v>
      </c>
      <c r="D170" s="525" t="s">
        <v>153</v>
      </c>
      <c r="E170" s="411" t="s">
        <v>247</v>
      </c>
      <c r="F170" s="414">
        <v>4</v>
      </c>
      <c r="G170" s="414"/>
      <c r="H170" s="366"/>
      <c r="J170" s="411" t="s">
        <v>545</v>
      </c>
    </row>
    <row r="171" spans="1:10" ht="9.75" customHeight="1">
      <c r="A171" s="411" t="str">
        <f>'12.lan'!D488</f>
        <v>PAK Pakistan</v>
      </c>
      <c r="B171" s="411" t="s">
        <v>546</v>
      </c>
      <c r="C171" s="414">
        <v>3.7554264063798555</v>
      </c>
      <c r="D171" s="525" t="s">
        <v>153</v>
      </c>
      <c r="E171" s="411" t="s">
        <v>247</v>
      </c>
      <c r="F171" s="414">
        <v>4</v>
      </c>
      <c r="G171" s="414"/>
      <c r="H171" s="366"/>
      <c r="J171" s="411" t="s">
        <v>547</v>
      </c>
    </row>
    <row r="172" spans="1:10" ht="9.75" customHeight="1">
      <c r="A172" s="411" t="str">
        <f>'12.lan'!D489</f>
        <v>PAN Panama</v>
      </c>
      <c r="B172" s="411" t="s">
        <v>548</v>
      </c>
      <c r="C172" s="414">
        <v>1.6406791448079765</v>
      </c>
      <c r="D172" s="525" t="s">
        <v>153</v>
      </c>
      <c r="E172" s="411" t="s">
        <v>244</v>
      </c>
      <c r="F172" s="414">
        <v>4</v>
      </c>
      <c r="G172" s="414"/>
      <c r="H172" s="366"/>
      <c r="J172" s="411" t="s">
        <v>549</v>
      </c>
    </row>
    <row r="173" spans="1:10" ht="9.75" customHeight="1">
      <c r="A173" s="411" t="str">
        <f>'12.lan'!D490</f>
        <v>PER Peru</v>
      </c>
      <c r="B173" s="411" t="s">
        <v>550</v>
      </c>
      <c r="C173" s="414">
        <v>2.0771619037834115</v>
      </c>
      <c r="D173" s="525" t="s">
        <v>153</v>
      </c>
      <c r="E173" s="411" t="s">
        <v>244</v>
      </c>
      <c r="F173" s="414">
        <v>4</v>
      </c>
      <c r="G173" s="414"/>
      <c r="H173" s="366"/>
      <c r="J173" s="411" t="s">
        <v>551</v>
      </c>
    </row>
    <row r="174" spans="1:10" ht="9.75" customHeight="1">
      <c r="A174" s="411" t="str">
        <f>'12.lan'!D491</f>
        <v>PHL Philippinen</v>
      </c>
      <c r="B174" s="411" t="s">
        <v>552</v>
      </c>
      <c r="C174" s="414">
        <v>2.8849218750079002</v>
      </c>
      <c r="D174" s="525" t="s">
        <v>153</v>
      </c>
      <c r="E174" s="411" t="s">
        <v>247</v>
      </c>
      <c r="F174" s="414">
        <v>5</v>
      </c>
      <c r="G174" s="414"/>
      <c r="H174" s="366"/>
      <c r="J174" s="411" t="s">
        <v>553</v>
      </c>
    </row>
    <row r="175" spans="1:10" ht="9.75" customHeight="1">
      <c r="A175" s="411" t="str">
        <f>'12.lan'!D492</f>
        <v>PLW Palau</v>
      </c>
      <c r="B175" s="411" t="s">
        <v>554</v>
      </c>
      <c r="C175" s="414">
        <v>1.1671421979595509</v>
      </c>
      <c r="D175" s="525" t="s">
        <v>153</v>
      </c>
      <c r="E175" s="411" t="s">
        <v>264</v>
      </c>
      <c r="F175" s="414">
        <v>4.05</v>
      </c>
      <c r="G175" s="414" t="s">
        <v>243</v>
      </c>
      <c r="H175" s="366"/>
      <c r="J175" s="411" t="s">
        <v>555</v>
      </c>
    </row>
    <row r="176" spans="1:10" ht="9.75" customHeight="1">
      <c r="A176" s="411" t="str">
        <f>'12.lan'!D493</f>
        <v>PNG Papua-Neuguinea</v>
      </c>
      <c r="B176" s="411" t="s">
        <v>556</v>
      </c>
      <c r="C176" s="414">
        <v>1.5882081386506723</v>
      </c>
      <c r="D176" s="525" t="s">
        <v>153</v>
      </c>
      <c r="E176" s="411" t="s">
        <v>264</v>
      </c>
      <c r="F176" s="414">
        <v>4.05</v>
      </c>
      <c r="G176" s="414" t="s">
        <v>243</v>
      </c>
      <c r="H176" s="366"/>
      <c r="J176" s="411" t="s">
        <v>557</v>
      </c>
    </row>
    <row r="177" spans="1:10" ht="9.75" customHeight="1">
      <c r="A177" s="411" t="str">
        <f>'12.lan'!D494</f>
        <v>POL Polen</v>
      </c>
      <c r="B177" s="411" t="s">
        <v>558</v>
      </c>
      <c r="C177" s="414">
        <v>2.032085080094546</v>
      </c>
      <c r="D177" s="525" t="s">
        <v>153</v>
      </c>
      <c r="E177" s="411" t="s">
        <v>253</v>
      </c>
      <c r="F177" s="414">
        <v>3</v>
      </c>
      <c r="G177" s="414"/>
      <c r="H177" s="366"/>
      <c r="J177" s="411" t="s">
        <v>559</v>
      </c>
    </row>
    <row r="178" spans="1:10" ht="9.75" customHeight="1">
      <c r="A178" s="411" t="str">
        <f>'12.lan'!D495</f>
        <v>PRI Puerto Rico</v>
      </c>
      <c r="B178" s="411" t="s">
        <v>560</v>
      </c>
      <c r="C178" s="414">
        <v>1.2492544311641729</v>
      </c>
      <c r="D178" s="525" t="s">
        <v>153</v>
      </c>
      <c r="E178" s="411" t="s">
        <v>244</v>
      </c>
      <c r="F178" s="414">
        <v>3.52</v>
      </c>
      <c r="G178" s="414" t="s">
        <v>243</v>
      </c>
      <c r="H178" s="366"/>
      <c r="J178" s="411" t="s">
        <v>561</v>
      </c>
    </row>
    <row r="179" spans="1:10" ht="9.75" customHeight="1">
      <c r="A179" s="411" t="str">
        <f>'12.lan'!D496</f>
        <v>PRK Korea, Demokratische Volksrepublik (Nordkorea)</v>
      </c>
      <c r="B179" s="411" t="s">
        <v>562</v>
      </c>
      <c r="C179" s="414">
        <v>3.7231875078645835</v>
      </c>
      <c r="D179" s="525" t="s">
        <v>243</v>
      </c>
      <c r="E179" s="411" t="s">
        <v>247</v>
      </c>
      <c r="F179" s="414">
        <v>4.47</v>
      </c>
      <c r="G179" s="414" t="s">
        <v>243</v>
      </c>
      <c r="H179" s="366"/>
      <c r="J179" s="411" t="s">
        <v>563</v>
      </c>
    </row>
    <row r="180" spans="1:10" ht="9.75" customHeight="1">
      <c r="A180" s="411" t="str">
        <f>'12.lan'!D497</f>
        <v>PRT Portugal</v>
      </c>
      <c r="B180" s="411" t="s">
        <v>564</v>
      </c>
      <c r="C180" s="414">
        <v>1.4275278215900897</v>
      </c>
      <c r="D180" s="525" t="s">
        <v>153</v>
      </c>
      <c r="E180" s="411" t="s">
        <v>253</v>
      </c>
      <c r="F180" s="414">
        <v>2</v>
      </c>
      <c r="G180" s="414"/>
      <c r="H180" s="366"/>
      <c r="J180" s="411" t="s">
        <v>565</v>
      </c>
    </row>
    <row r="181" spans="1:10" ht="9.75" customHeight="1">
      <c r="A181" s="411" t="str">
        <f>'12.lan'!D498</f>
        <v>PRY Paraguay</v>
      </c>
      <c r="B181" s="411" t="s">
        <v>566</v>
      </c>
      <c r="C181" s="414">
        <v>2.3360289093573541</v>
      </c>
      <c r="D181" s="525" t="s">
        <v>153</v>
      </c>
      <c r="E181" s="411" t="s">
        <v>244</v>
      </c>
      <c r="F181" s="414">
        <v>4</v>
      </c>
      <c r="G181" s="414"/>
      <c r="H181" s="366"/>
      <c r="J181" s="411" t="s">
        <v>567</v>
      </c>
    </row>
    <row r="182" spans="1:10" ht="9.75" customHeight="1">
      <c r="A182" s="411" t="str">
        <f>'12.lan'!D499</f>
        <v>PSE Palästinensische Autonomiegebiete</v>
      </c>
      <c r="B182" s="411" t="s">
        <v>568</v>
      </c>
      <c r="C182" s="414">
        <v>1.6123112187774657</v>
      </c>
      <c r="D182" s="525" t="s">
        <v>153</v>
      </c>
      <c r="E182" s="411" t="s">
        <v>247</v>
      </c>
      <c r="F182" s="414">
        <v>6</v>
      </c>
      <c r="G182" s="414" t="s">
        <v>243</v>
      </c>
      <c r="H182" s="366"/>
      <c r="J182" s="411" t="s">
        <v>569</v>
      </c>
    </row>
    <row r="183" spans="1:10" ht="9.75" customHeight="1">
      <c r="A183" s="411" t="str">
        <f>'12.lan'!D500</f>
        <v>PYF Französisch-Polynesien</v>
      </c>
      <c r="B183" s="411" t="s">
        <v>570</v>
      </c>
      <c r="C183" s="414">
        <v>1.4985868712925843</v>
      </c>
      <c r="D183" s="525" t="s">
        <v>243</v>
      </c>
      <c r="E183" s="411" t="s">
        <v>264</v>
      </c>
      <c r="F183" s="414">
        <v>4.05</v>
      </c>
      <c r="G183" s="414" t="s">
        <v>243</v>
      </c>
      <c r="H183" s="366"/>
      <c r="I183" s="413"/>
      <c r="J183" s="411" t="s">
        <v>571</v>
      </c>
    </row>
    <row r="184" spans="1:10" ht="9.75" customHeight="1">
      <c r="A184" s="411" t="str">
        <f>'12.lan'!D501</f>
        <v>QAT Katar</v>
      </c>
      <c r="B184" s="411" t="s">
        <v>572</v>
      </c>
      <c r="C184" s="414">
        <v>1.8446205128798234</v>
      </c>
      <c r="D184" s="525" t="s">
        <v>153</v>
      </c>
      <c r="E184" s="411" t="s">
        <v>247</v>
      </c>
      <c r="F184" s="414">
        <v>4.47</v>
      </c>
      <c r="G184" s="414"/>
      <c r="H184" s="366"/>
      <c r="J184" s="411" t="s">
        <v>573</v>
      </c>
    </row>
    <row r="185" spans="1:10" ht="9.75" customHeight="1">
      <c r="A185" s="411" t="str">
        <f>'12.lan'!D502</f>
        <v>ROU Rumänien</v>
      </c>
      <c r="B185" s="411" t="s">
        <v>574</v>
      </c>
      <c r="C185" s="414">
        <v>2.2929785896009807</v>
      </c>
      <c r="D185" s="525" t="s">
        <v>153</v>
      </c>
      <c r="E185" s="411" t="s">
        <v>253</v>
      </c>
      <c r="F185" s="414">
        <v>4</v>
      </c>
      <c r="G185" s="414"/>
      <c r="H185" s="366"/>
      <c r="J185" s="411" t="s">
        <v>575</v>
      </c>
    </row>
    <row r="186" spans="1:10" ht="9.75" customHeight="1">
      <c r="A186" s="411" t="str">
        <f>'12.lan'!D503</f>
        <v>RUS Russische Föderation</v>
      </c>
      <c r="B186" s="411" t="s">
        <v>576</v>
      </c>
      <c r="C186" s="414">
        <v>2.4438322697966557</v>
      </c>
      <c r="D186" s="525" t="s">
        <v>153</v>
      </c>
      <c r="E186" s="411" t="s">
        <v>253</v>
      </c>
      <c r="F186" s="414">
        <v>3</v>
      </c>
      <c r="G186" s="414"/>
      <c r="H186" s="366"/>
      <c r="J186" s="411" t="s">
        <v>577</v>
      </c>
    </row>
    <row r="187" spans="1:10" ht="9.75" customHeight="1">
      <c r="A187" s="411" t="str">
        <f>'12.lan'!D504</f>
        <v>RWA Ruanda</v>
      </c>
      <c r="B187" s="411" t="s">
        <v>578</v>
      </c>
      <c r="C187" s="414">
        <v>2.912960122179939</v>
      </c>
      <c r="D187" s="525" t="s">
        <v>153</v>
      </c>
      <c r="E187" s="411" t="s">
        <v>250</v>
      </c>
      <c r="F187" s="414">
        <v>3</v>
      </c>
      <c r="G187" s="414" t="s">
        <v>243</v>
      </c>
      <c r="H187" s="366"/>
      <c r="J187" s="411" t="s">
        <v>579</v>
      </c>
    </row>
    <row r="188" spans="1:10" ht="9.75" customHeight="1">
      <c r="A188" s="411" t="str">
        <f>'12.lan'!D505</f>
        <v>SAU Saudi-Arabien</v>
      </c>
      <c r="B188" s="411" t="s">
        <v>580</v>
      </c>
      <c r="C188" s="414">
        <v>2.1038062136226383</v>
      </c>
      <c r="D188" s="525" t="s">
        <v>153</v>
      </c>
      <c r="E188" s="411" t="s">
        <v>247</v>
      </c>
      <c r="F188" s="414">
        <v>5</v>
      </c>
      <c r="G188" s="414"/>
      <c r="H188" s="366"/>
      <c r="J188" s="411" t="s">
        <v>581</v>
      </c>
    </row>
    <row r="189" spans="1:10" ht="9.75" customHeight="1">
      <c r="A189" s="411" t="str">
        <f>'12.lan'!D506</f>
        <v>SDN Sudan</v>
      </c>
      <c r="B189" s="411" t="s">
        <v>582</v>
      </c>
      <c r="C189" s="414">
        <v>4.328863187846788</v>
      </c>
      <c r="D189" s="525" t="s">
        <v>153</v>
      </c>
      <c r="E189" s="411" t="s">
        <v>250</v>
      </c>
      <c r="F189" s="414">
        <v>6</v>
      </c>
      <c r="G189" s="414"/>
      <c r="H189" s="366"/>
      <c r="J189" s="411" t="s">
        <v>583</v>
      </c>
    </row>
    <row r="190" spans="1:10" ht="9.75" customHeight="1">
      <c r="A190" s="411" t="str">
        <f>'12.lan'!D507</f>
        <v>SEN Senegal</v>
      </c>
      <c r="B190" s="411" t="s">
        <v>584</v>
      </c>
      <c r="C190" s="414">
        <v>2.4853180323217741</v>
      </c>
      <c r="D190" s="525" t="s">
        <v>153</v>
      </c>
      <c r="E190" s="411" t="s">
        <v>250</v>
      </c>
      <c r="F190" s="414">
        <v>4</v>
      </c>
      <c r="G190" s="414"/>
      <c r="H190" s="366"/>
      <c r="J190" s="411" t="s">
        <v>585</v>
      </c>
    </row>
    <row r="191" spans="1:10" ht="9.75" customHeight="1">
      <c r="A191" s="411" t="str">
        <f>'12.lan'!D508</f>
        <v>SGP Singapur</v>
      </c>
      <c r="B191" s="411" t="s">
        <v>586</v>
      </c>
      <c r="C191" s="414">
        <v>1.5721364813537879</v>
      </c>
      <c r="D191" s="525" t="s">
        <v>153</v>
      </c>
      <c r="E191" s="411" t="s">
        <v>247</v>
      </c>
      <c r="F191" s="414">
        <v>2</v>
      </c>
      <c r="G191" s="414"/>
      <c r="H191" s="366"/>
      <c r="J191" s="411" t="s">
        <v>587</v>
      </c>
    </row>
    <row r="192" spans="1:10" ht="9.75" customHeight="1">
      <c r="A192" s="411" t="str">
        <f>'12.lan'!D509</f>
        <v>SLB Salomonen</v>
      </c>
      <c r="B192" s="411" t="s">
        <v>588</v>
      </c>
      <c r="C192" s="414">
        <v>1.1333817085363669</v>
      </c>
      <c r="D192" s="525" t="s">
        <v>153</v>
      </c>
      <c r="E192" s="411" t="s">
        <v>264</v>
      </c>
      <c r="F192" s="414">
        <v>4.05</v>
      </c>
      <c r="G192" s="414" t="s">
        <v>243</v>
      </c>
      <c r="H192" s="366"/>
      <c r="J192" s="411" t="s">
        <v>589</v>
      </c>
    </row>
    <row r="193" spans="1:10" ht="9.75" customHeight="1">
      <c r="A193" s="411" t="str">
        <f>'12.lan'!D510</f>
        <v>SLE Sierra Leone</v>
      </c>
      <c r="B193" s="411" t="s">
        <v>590</v>
      </c>
      <c r="C193" s="414">
        <v>3.0000008915523013</v>
      </c>
      <c r="D193" s="525" t="s">
        <v>153</v>
      </c>
      <c r="E193" s="411" t="s">
        <v>250</v>
      </c>
      <c r="F193" s="414">
        <v>5</v>
      </c>
      <c r="G193" s="414" t="s">
        <v>243</v>
      </c>
      <c r="H193" s="366"/>
      <c r="J193" s="411" t="s">
        <v>591</v>
      </c>
    </row>
    <row r="194" spans="1:10" ht="9.75" customHeight="1">
      <c r="A194" s="411" t="str">
        <f>'12.lan'!D511</f>
        <v>SLV El Salvador</v>
      </c>
      <c r="B194" s="411" t="s">
        <v>592</v>
      </c>
      <c r="C194" s="414">
        <v>2.0530522106897235</v>
      </c>
      <c r="D194" s="525" t="s">
        <v>153</v>
      </c>
      <c r="E194" s="411" t="s">
        <v>244</v>
      </c>
      <c r="F194" s="414">
        <v>3</v>
      </c>
      <c r="G194" s="414"/>
      <c r="H194" s="366"/>
      <c r="J194" s="411" t="s">
        <v>593</v>
      </c>
    </row>
    <row r="195" spans="1:10" ht="9.75" customHeight="1">
      <c r="A195" s="411" t="str">
        <f>'12.lan'!D512</f>
        <v>SMR San Marino</v>
      </c>
      <c r="B195" s="411" t="s">
        <v>594</v>
      </c>
      <c r="C195" s="414">
        <v>1.2998787403696581</v>
      </c>
      <c r="D195" s="525">
        <v>2017</v>
      </c>
      <c r="E195" s="411" t="s">
        <v>253</v>
      </c>
      <c r="F195" s="414">
        <v>2.5499999999999998</v>
      </c>
      <c r="G195" s="414" t="s">
        <v>243</v>
      </c>
      <c r="H195" s="366"/>
      <c r="J195" s="411" t="s">
        <v>595</v>
      </c>
    </row>
    <row r="196" spans="1:10" ht="9.75" customHeight="1">
      <c r="A196" s="411" t="str">
        <f>'12.lan'!D513</f>
        <v>SOM Somalia</v>
      </c>
      <c r="B196" s="411" t="s">
        <v>596</v>
      </c>
      <c r="C196" s="414">
        <v>2.514550394779445</v>
      </c>
      <c r="D196" s="525" t="s">
        <v>243</v>
      </c>
      <c r="E196" s="411" t="s">
        <v>250</v>
      </c>
      <c r="F196" s="414">
        <v>6</v>
      </c>
      <c r="G196" s="414" t="s">
        <v>243</v>
      </c>
      <c r="H196" s="366"/>
      <c r="J196" s="411" t="s">
        <v>597</v>
      </c>
    </row>
    <row r="197" spans="1:10" ht="9.75" customHeight="1">
      <c r="A197" s="411" t="str">
        <f>'12.lan'!D514</f>
        <v>SRB Serbien</v>
      </c>
      <c r="B197" s="411" t="s">
        <v>598</v>
      </c>
      <c r="C197" s="414">
        <v>2.4059006119375055</v>
      </c>
      <c r="D197" s="525" t="s">
        <v>153</v>
      </c>
      <c r="E197" s="411" t="s">
        <v>253</v>
      </c>
      <c r="F197" s="414">
        <v>4</v>
      </c>
      <c r="G197" s="414"/>
      <c r="H197" s="366"/>
      <c r="J197" s="411" t="s">
        <v>599</v>
      </c>
    </row>
    <row r="198" spans="1:10" ht="9.75" customHeight="1">
      <c r="A198" s="411" t="str">
        <f>'12.lan'!D515</f>
        <v>SSD Südsudan</v>
      </c>
      <c r="B198" s="411" t="s">
        <v>600</v>
      </c>
      <c r="C198" s="414">
        <v>2.514550394779445</v>
      </c>
      <c r="D198" s="525" t="s">
        <v>243</v>
      </c>
      <c r="E198" s="411" t="s">
        <v>250</v>
      </c>
      <c r="F198" s="414">
        <v>6</v>
      </c>
      <c r="G198" s="414" t="s">
        <v>243</v>
      </c>
      <c r="H198" s="366"/>
      <c r="J198" s="411" t="s">
        <v>601</v>
      </c>
    </row>
    <row r="199" spans="1:10" ht="9.75" customHeight="1">
      <c r="A199" s="411" t="str">
        <f>'12.lan'!D516</f>
        <v>STP São Tomé und Príncipe</v>
      </c>
      <c r="B199" s="411" t="s">
        <v>602</v>
      </c>
      <c r="C199" s="414">
        <v>1.7083189524327189</v>
      </c>
      <c r="D199" s="525" t="s">
        <v>153</v>
      </c>
      <c r="E199" s="411" t="s">
        <v>250</v>
      </c>
      <c r="F199" s="414">
        <v>3.79</v>
      </c>
      <c r="G199" s="414" t="s">
        <v>243</v>
      </c>
      <c r="H199" s="366"/>
      <c r="J199" s="411" t="s">
        <v>603</v>
      </c>
    </row>
    <row r="200" spans="1:10" ht="9.75" customHeight="1">
      <c r="A200" s="411" t="str">
        <f>'12.lan'!D517</f>
        <v>SUR Suriname</v>
      </c>
      <c r="B200" s="411" t="s">
        <v>604</v>
      </c>
      <c r="C200" s="414">
        <v>2.4880258048969957</v>
      </c>
      <c r="D200" s="525" t="s">
        <v>153</v>
      </c>
      <c r="E200" s="411" t="s">
        <v>244</v>
      </c>
      <c r="F200" s="414">
        <v>3.52</v>
      </c>
      <c r="G200" s="414" t="s">
        <v>243</v>
      </c>
      <c r="H200" s="366"/>
      <c r="J200" s="411" t="s">
        <v>605</v>
      </c>
    </row>
    <row r="201" spans="1:10" ht="9.75" customHeight="1">
      <c r="A201" s="411" t="str">
        <f>'12.lan'!D518</f>
        <v>SVK Slowakei</v>
      </c>
      <c r="B201" s="411" t="s">
        <v>606</v>
      </c>
      <c r="C201" s="414">
        <v>1.7351700606912548</v>
      </c>
      <c r="D201" s="525" t="s">
        <v>153</v>
      </c>
      <c r="E201" s="411" t="s">
        <v>253</v>
      </c>
      <c r="F201" s="414">
        <v>1</v>
      </c>
      <c r="G201" s="414"/>
      <c r="H201" s="366"/>
      <c r="J201" s="411" t="s">
        <v>607</v>
      </c>
    </row>
    <row r="202" spans="1:10" ht="9.75" customHeight="1">
      <c r="A202" s="411" t="str">
        <f>'12.lan'!D519</f>
        <v>SVN Slowenien</v>
      </c>
      <c r="B202" s="411" t="s">
        <v>608</v>
      </c>
      <c r="C202" s="414">
        <v>1.4564700167485418</v>
      </c>
      <c r="D202" s="525" t="s">
        <v>153</v>
      </c>
      <c r="E202" s="411" t="s">
        <v>253</v>
      </c>
      <c r="F202" s="414">
        <v>2.5499999999999998</v>
      </c>
      <c r="G202" s="414"/>
      <c r="H202" s="366"/>
      <c r="J202" s="411" t="s">
        <v>609</v>
      </c>
    </row>
    <row r="203" spans="1:10" ht="9.75" customHeight="1">
      <c r="A203" s="411" t="str">
        <f>'12.lan'!D520</f>
        <v>SWE Schweden</v>
      </c>
      <c r="B203" s="411" t="s">
        <v>610</v>
      </c>
      <c r="C203" s="414">
        <v>0.97437249740177201</v>
      </c>
      <c r="D203" s="525" t="s">
        <v>153</v>
      </c>
      <c r="E203" s="411" t="s">
        <v>253</v>
      </c>
      <c r="F203" s="414">
        <v>1</v>
      </c>
      <c r="G203" s="414"/>
      <c r="H203" s="366"/>
      <c r="J203" s="411" t="s">
        <v>611</v>
      </c>
    </row>
    <row r="204" spans="1:10" ht="9.75" customHeight="1">
      <c r="A204" s="411" t="str">
        <f>'12.lan'!D521</f>
        <v>SWZ Swasiland</v>
      </c>
      <c r="B204" s="411" t="s">
        <v>612</v>
      </c>
      <c r="C204" s="414">
        <v>2.5658244458539188</v>
      </c>
      <c r="D204" s="525" t="s">
        <v>153</v>
      </c>
      <c r="E204" s="411" t="s">
        <v>250</v>
      </c>
      <c r="F204" s="414">
        <v>3.79</v>
      </c>
      <c r="G204" s="414" t="s">
        <v>243</v>
      </c>
      <c r="H204" s="366"/>
      <c r="J204" s="411" t="s">
        <v>613</v>
      </c>
    </row>
    <row r="205" spans="1:10" ht="9.75" customHeight="1">
      <c r="A205" s="411" t="str">
        <f>'12.lan'!D522</f>
        <v>SXM Sint Maarten (niederl. Teil)</v>
      </c>
      <c r="B205" s="411" t="s">
        <v>614</v>
      </c>
      <c r="C205" s="414">
        <v>1.0030456687149514</v>
      </c>
      <c r="D205" s="525" t="s">
        <v>243</v>
      </c>
      <c r="E205" s="411" t="s">
        <v>244</v>
      </c>
      <c r="F205" s="414">
        <v>3.52</v>
      </c>
      <c r="G205" s="414" t="s">
        <v>243</v>
      </c>
      <c r="H205" s="366"/>
      <c r="I205" s="413"/>
      <c r="J205" s="411" t="s">
        <v>615</v>
      </c>
    </row>
    <row r="206" spans="1:10" ht="9.75" customHeight="1">
      <c r="A206" s="411" t="str">
        <f>'12.lan'!D523</f>
        <v>SYC Seychellen</v>
      </c>
      <c r="B206" s="411" t="s">
        <v>616</v>
      </c>
      <c r="C206" s="414">
        <v>1.859388830745349</v>
      </c>
      <c r="D206" s="525" t="s">
        <v>153</v>
      </c>
      <c r="E206" s="411" t="s">
        <v>250</v>
      </c>
      <c r="F206" s="414">
        <v>3.79</v>
      </c>
      <c r="G206" s="414" t="s">
        <v>243</v>
      </c>
      <c r="H206" s="366"/>
      <c r="J206" s="411" t="s">
        <v>617</v>
      </c>
    </row>
    <row r="207" spans="1:10" ht="9.75" customHeight="1">
      <c r="A207" s="411" t="str">
        <f>'12.lan'!D524</f>
        <v>SYR Syrien, Arabische Republik</v>
      </c>
      <c r="B207" s="411" t="s">
        <v>618</v>
      </c>
      <c r="C207" s="414">
        <v>2.5752604968031712</v>
      </c>
      <c r="D207" s="525" t="s">
        <v>243</v>
      </c>
      <c r="E207" s="411" t="s">
        <v>247</v>
      </c>
      <c r="F207" s="414">
        <v>4.47</v>
      </c>
      <c r="G207" s="414" t="s">
        <v>243</v>
      </c>
      <c r="H207" s="366"/>
      <c r="J207" s="411" t="s">
        <v>619</v>
      </c>
    </row>
    <row r="208" spans="1:10" ht="9.75" customHeight="1">
      <c r="A208" s="411" t="str">
        <f>'12.lan'!D525</f>
        <v>TCA Turks- und Caicosinseln</v>
      </c>
      <c r="B208" s="411" t="s">
        <v>620</v>
      </c>
      <c r="C208" s="414">
        <v>0.93473290863003466</v>
      </c>
      <c r="D208" s="525" t="s">
        <v>153</v>
      </c>
      <c r="E208" s="411" t="s">
        <v>244</v>
      </c>
      <c r="F208" s="414">
        <v>3.52</v>
      </c>
      <c r="G208" s="414" t="s">
        <v>243</v>
      </c>
      <c r="H208" s="366"/>
      <c r="J208" s="411" t="s">
        <v>621</v>
      </c>
    </row>
    <row r="209" spans="1:10" ht="9.75" customHeight="1">
      <c r="A209" s="411" t="str">
        <f>'12.lan'!D526</f>
        <v>TCD Tschad</v>
      </c>
      <c r="B209" s="411" t="s">
        <v>622</v>
      </c>
      <c r="C209" s="414">
        <v>2.7023773491494341</v>
      </c>
      <c r="D209" s="525" t="s">
        <v>153</v>
      </c>
      <c r="E209" s="411" t="s">
        <v>250</v>
      </c>
      <c r="F209" s="414">
        <v>4</v>
      </c>
      <c r="G209" s="414"/>
      <c r="H209" s="366"/>
      <c r="J209" s="411" t="s">
        <v>623</v>
      </c>
    </row>
    <row r="210" spans="1:10" ht="9.75" customHeight="1">
      <c r="A210" s="411" t="str">
        <f>'12.lan'!D527</f>
        <v>TGO Togo</v>
      </c>
      <c r="B210" s="411" t="s">
        <v>624</v>
      </c>
      <c r="C210" s="414">
        <v>2.611524670890724</v>
      </c>
      <c r="D210" s="525" t="s">
        <v>153</v>
      </c>
      <c r="E210" s="411" t="s">
        <v>250</v>
      </c>
      <c r="F210" s="414">
        <v>2</v>
      </c>
      <c r="G210" s="414" t="s">
        <v>243</v>
      </c>
      <c r="H210" s="366"/>
      <c r="J210" s="411" t="s">
        <v>625</v>
      </c>
    </row>
    <row r="211" spans="1:10" ht="9.75" customHeight="1">
      <c r="A211" s="411" t="str">
        <f>'12.lan'!D528</f>
        <v>THA Thailand</v>
      </c>
      <c r="B211" s="411" t="s">
        <v>626</v>
      </c>
      <c r="C211" s="414">
        <v>2.6192572799169205</v>
      </c>
      <c r="D211" s="525" t="s">
        <v>153</v>
      </c>
      <c r="E211" s="411" t="s">
        <v>247</v>
      </c>
      <c r="F211" s="414">
        <v>5</v>
      </c>
      <c r="G211" s="414"/>
      <c r="H211" s="366"/>
      <c r="J211" s="411" t="s">
        <v>627</v>
      </c>
    </row>
    <row r="212" spans="1:10" ht="9.75" customHeight="1">
      <c r="A212" s="411" t="str">
        <f>'12.lan'!D529</f>
        <v>TJK Tadschikistan</v>
      </c>
      <c r="B212" s="411" t="s">
        <v>628</v>
      </c>
      <c r="C212" s="414">
        <v>4.1733480055151935</v>
      </c>
      <c r="D212" s="525" t="s">
        <v>153</v>
      </c>
      <c r="E212" s="411" t="s">
        <v>247</v>
      </c>
      <c r="F212" s="414">
        <v>4.47</v>
      </c>
      <c r="G212" s="414" t="s">
        <v>243</v>
      </c>
      <c r="H212" s="366"/>
      <c r="J212" s="411" t="s">
        <v>629</v>
      </c>
    </row>
    <row r="213" spans="1:10" ht="9.75" customHeight="1">
      <c r="A213" s="411" t="str">
        <f>'12.lan'!D530</f>
        <v>TKM Turkmenistan</v>
      </c>
      <c r="B213" s="411" t="s">
        <v>630</v>
      </c>
      <c r="C213" s="414">
        <v>2.7709360642603289</v>
      </c>
      <c r="D213" s="525" t="s">
        <v>153</v>
      </c>
      <c r="E213" s="411" t="s">
        <v>247</v>
      </c>
      <c r="F213" s="414">
        <v>4.47</v>
      </c>
      <c r="G213" s="414" t="s">
        <v>243</v>
      </c>
      <c r="H213" s="366"/>
      <c r="J213" s="411" t="s">
        <v>631</v>
      </c>
    </row>
    <row r="214" spans="1:10" ht="9.75" customHeight="1">
      <c r="A214" s="411" t="str">
        <f>'12.lan'!D531</f>
        <v>TLS Osttimor (Timor-Leste)</v>
      </c>
      <c r="B214" s="411" t="s">
        <v>632</v>
      </c>
      <c r="C214" s="414">
        <v>3.7623716154084375</v>
      </c>
      <c r="D214" s="525" t="s">
        <v>153</v>
      </c>
      <c r="E214" s="411" t="s">
        <v>247</v>
      </c>
      <c r="F214" s="414">
        <v>4.47</v>
      </c>
      <c r="G214" s="414" t="s">
        <v>243</v>
      </c>
      <c r="H214" s="366"/>
      <c r="J214" s="411" t="s">
        <v>633</v>
      </c>
    </row>
    <row r="215" spans="1:10" ht="9.75" customHeight="1">
      <c r="A215" s="411" t="str">
        <f>'12.lan'!D532</f>
        <v>TON Tonga</v>
      </c>
      <c r="B215" s="411" t="s">
        <v>634</v>
      </c>
      <c r="C215" s="414">
        <v>1.471021743174715</v>
      </c>
      <c r="D215" s="525" t="s">
        <v>153</v>
      </c>
      <c r="E215" s="411" t="s">
        <v>264</v>
      </c>
      <c r="F215" s="414">
        <v>4.05</v>
      </c>
      <c r="G215" s="414" t="s">
        <v>243</v>
      </c>
      <c r="H215" s="366"/>
      <c r="J215" s="411" t="s">
        <v>635</v>
      </c>
    </row>
    <row r="216" spans="1:10" ht="9.75" customHeight="1">
      <c r="A216" s="411" t="str">
        <f>'12.lan'!D533</f>
        <v>TTO Trinidad und Tobago</v>
      </c>
      <c r="B216" s="411" t="s">
        <v>636</v>
      </c>
      <c r="C216" s="414">
        <v>1.8689401961635488</v>
      </c>
      <c r="D216" s="525" t="s">
        <v>153</v>
      </c>
      <c r="E216" s="411" t="s">
        <v>244</v>
      </c>
      <c r="F216" s="414">
        <v>4</v>
      </c>
      <c r="G216" s="414" t="s">
        <v>243</v>
      </c>
      <c r="H216" s="366"/>
      <c r="J216" s="411" t="s">
        <v>637</v>
      </c>
    </row>
    <row r="217" spans="1:10" ht="9.75" customHeight="1">
      <c r="A217" s="411" t="str">
        <f>'12.lan'!D534</f>
        <v>TUN Tunesien</v>
      </c>
      <c r="B217" s="411" t="s">
        <v>638</v>
      </c>
      <c r="C217" s="414">
        <v>3.6266255266037239</v>
      </c>
      <c r="D217" s="525" t="s">
        <v>153</v>
      </c>
      <c r="E217" s="411" t="s">
        <v>250</v>
      </c>
      <c r="F217" s="414">
        <v>4</v>
      </c>
      <c r="G217" s="414" t="s">
        <v>243</v>
      </c>
      <c r="H217" s="366"/>
      <c r="J217" s="411" t="s">
        <v>639</v>
      </c>
    </row>
    <row r="218" spans="1:10" ht="9.75" customHeight="1">
      <c r="A218" s="411" t="str">
        <f>'12.lan'!D535</f>
        <v>TUR Türkei</v>
      </c>
      <c r="B218" s="411" t="s">
        <v>640</v>
      </c>
      <c r="C218" s="414">
        <v>2.995552952621078</v>
      </c>
      <c r="D218" s="525" t="s">
        <v>153</v>
      </c>
      <c r="E218" s="411" t="s">
        <v>247</v>
      </c>
      <c r="F218" s="414">
        <v>5</v>
      </c>
      <c r="G218" s="414"/>
      <c r="H218" s="366"/>
      <c r="J218" s="411" t="s">
        <v>641</v>
      </c>
    </row>
    <row r="219" spans="1:10" ht="9.75" customHeight="1">
      <c r="A219" s="411" t="str">
        <f>'12.lan'!D536</f>
        <v>TUV Tuvalu</v>
      </c>
      <c r="B219" s="411" t="s">
        <v>642</v>
      </c>
      <c r="C219" s="414">
        <v>1.0942666781987891</v>
      </c>
      <c r="D219" s="525" t="s">
        <v>153</v>
      </c>
      <c r="E219" s="411" t="s">
        <v>264</v>
      </c>
      <c r="F219" s="414">
        <v>4.05</v>
      </c>
      <c r="G219" s="414" t="s">
        <v>243</v>
      </c>
      <c r="H219" s="366"/>
      <c r="J219" s="411" t="s">
        <v>643</v>
      </c>
    </row>
    <row r="220" spans="1:10" ht="9.75" customHeight="1">
      <c r="A220" s="411" t="str">
        <f>'12.lan'!D537</f>
        <v>TZA Tansania, Vereinigte Republik</v>
      </c>
      <c r="B220" s="411" t="s">
        <v>644</v>
      </c>
      <c r="C220" s="414">
        <v>3.0539862236105728</v>
      </c>
      <c r="D220" s="525" t="s">
        <v>153</v>
      </c>
      <c r="E220" s="411" t="s">
        <v>250</v>
      </c>
      <c r="F220" s="414">
        <v>4</v>
      </c>
      <c r="G220" s="414"/>
      <c r="H220" s="366"/>
      <c r="J220" s="411" t="s">
        <v>645</v>
      </c>
    </row>
    <row r="221" spans="1:10" ht="9.75" customHeight="1">
      <c r="A221" s="411" t="str">
        <f>'12.lan'!D538</f>
        <v>UGA Uganda</v>
      </c>
      <c r="B221" s="411" t="s">
        <v>646</v>
      </c>
      <c r="C221" s="414">
        <v>3.1707337112900671</v>
      </c>
      <c r="D221" s="525" t="s">
        <v>153</v>
      </c>
      <c r="E221" s="411" t="s">
        <v>250</v>
      </c>
      <c r="F221" s="414">
        <v>4</v>
      </c>
      <c r="G221" s="414"/>
      <c r="H221" s="366"/>
      <c r="J221" s="411" t="s">
        <v>647</v>
      </c>
    </row>
    <row r="222" spans="1:10" ht="9.75" customHeight="1">
      <c r="A222" s="411" t="str">
        <f>'12.lan'!D539</f>
        <v>UKR Ukraine</v>
      </c>
      <c r="B222" s="411" t="s">
        <v>648</v>
      </c>
      <c r="C222" s="414">
        <v>2.9883500534382654</v>
      </c>
      <c r="D222" s="525" t="s">
        <v>153</v>
      </c>
      <c r="E222" s="411" t="s">
        <v>253</v>
      </c>
      <c r="F222" s="414">
        <v>5</v>
      </c>
      <c r="G222" s="414"/>
      <c r="H222" s="366"/>
      <c r="J222" s="411" t="s">
        <v>649</v>
      </c>
    </row>
    <row r="223" spans="1:10" ht="9.75" customHeight="1">
      <c r="A223" s="411" t="str">
        <f>'12.lan'!D540</f>
        <v>URY Uruguay</v>
      </c>
      <c r="B223" s="411" t="s">
        <v>650</v>
      </c>
      <c r="C223" s="414">
        <v>1.3642909040729942</v>
      </c>
      <c r="D223" s="525" t="s">
        <v>153</v>
      </c>
      <c r="E223" s="411" t="s">
        <v>244</v>
      </c>
      <c r="F223" s="414">
        <v>1</v>
      </c>
      <c r="G223" s="414"/>
      <c r="H223" s="366"/>
      <c r="J223" s="411" t="s">
        <v>651</v>
      </c>
    </row>
    <row r="224" spans="1:10" ht="9.75" customHeight="1">
      <c r="A224" s="411" t="str">
        <f>'12.lan'!D541</f>
        <v>USA Vereinigte Staaten von Amerika</v>
      </c>
      <c r="B224" s="411" t="s">
        <v>652</v>
      </c>
      <c r="C224" s="414">
        <v>1</v>
      </c>
      <c r="D224" s="525" t="s">
        <v>153</v>
      </c>
      <c r="E224" s="411" t="s">
        <v>244</v>
      </c>
      <c r="F224" s="414">
        <v>4</v>
      </c>
      <c r="G224" s="414"/>
      <c r="H224" s="366"/>
      <c r="J224" s="411" t="s">
        <v>653</v>
      </c>
    </row>
    <row r="225" spans="1:10" ht="9.75" customHeight="1">
      <c r="A225" s="411" t="str">
        <f>'12.lan'!D542</f>
        <v>UZB Usbekistan</v>
      </c>
      <c r="B225" s="411" t="s">
        <v>654</v>
      </c>
      <c r="C225" s="414">
        <v>5.5835354058374804</v>
      </c>
      <c r="D225" s="525" t="s">
        <v>153</v>
      </c>
      <c r="E225" s="411" t="s">
        <v>247</v>
      </c>
      <c r="F225" s="414">
        <v>4.47</v>
      </c>
      <c r="G225" s="414" t="s">
        <v>243</v>
      </c>
      <c r="H225" s="366"/>
      <c r="J225" s="411" t="s">
        <v>655</v>
      </c>
    </row>
    <row r="226" spans="1:10" ht="9.75" customHeight="1">
      <c r="A226" s="411" t="str">
        <f>'12.lan'!D543</f>
        <v>VCT St. Vincent und die Grenadinen</v>
      </c>
      <c r="B226" s="411" t="s">
        <v>656</v>
      </c>
      <c r="C226" s="414">
        <v>1.6692441518569066</v>
      </c>
      <c r="D226" s="525" t="s">
        <v>153</v>
      </c>
      <c r="E226" s="411" t="s">
        <v>244</v>
      </c>
      <c r="F226" s="414">
        <v>3.52</v>
      </c>
      <c r="G226" s="414" t="s">
        <v>243</v>
      </c>
      <c r="H226" s="366"/>
      <c r="J226" s="411" t="s">
        <v>657</v>
      </c>
    </row>
    <row r="227" spans="1:10" ht="9.75" customHeight="1">
      <c r="A227" s="411" t="str">
        <f>'12.lan'!D544</f>
        <v>VEN Venezuela</v>
      </c>
      <c r="B227" s="411" t="s">
        <v>658</v>
      </c>
      <c r="C227" s="414">
        <v>1.834346114968979</v>
      </c>
      <c r="D227" s="525" t="s">
        <v>243</v>
      </c>
      <c r="E227" s="411" t="s">
        <v>244</v>
      </c>
      <c r="F227" s="414">
        <v>4</v>
      </c>
      <c r="G227" s="414"/>
      <c r="H227" s="366"/>
      <c r="J227" s="411" t="s">
        <v>659</v>
      </c>
    </row>
    <row r="228" spans="1:10" ht="9.75" customHeight="1">
      <c r="A228" s="411" t="str">
        <f>'12.lan'!D545</f>
        <v>VGB Britische Jungferninseln</v>
      </c>
      <c r="B228" s="411" t="s">
        <v>660</v>
      </c>
      <c r="C228" s="414">
        <v>1.0030456687149514</v>
      </c>
      <c r="D228" s="525" t="s">
        <v>243</v>
      </c>
      <c r="E228" s="411" t="s">
        <v>244</v>
      </c>
      <c r="F228" s="414">
        <v>3.52</v>
      </c>
      <c r="G228" s="414" t="s">
        <v>243</v>
      </c>
      <c r="H228" s="366"/>
      <c r="J228" s="411" t="s">
        <v>661</v>
      </c>
    </row>
    <row r="229" spans="1:10" ht="9.75" customHeight="1">
      <c r="A229" s="411" t="str">
        <f>'12.lan'!D546</f>
        <v>VIR Amerikanische Jungferninseln</v>
      </c>
      <c r="B229" s="411" t="s">
        <v>662</v>
      </c>
      <c r="C229" s="414">
        <v>1.0030456687149514</v>
      </c>
      <c r="D229" s="525" t="s">
        <v>243</v>
      </c>
      <c r="E229" s="411" t="s">
        <v>244</v>
      </c>
      <c r="F229" s="414">
        <v>3.52</v>
      </c>
      <c r="G229" s="414" t="s">
        <v>243</v>
      </c>
      <c r="H229" s="366"/>
      <c r="J229" s="411" t="s">
        <v>663</v>
      </c>
    </row>
    <row r="230" spans="1:10" ht="9.75" customHeight="1">
      <c r="A230" s="411" t="str">
        <f>'12.lan'!D547</f>
        <v>VNM Vietnam</v>
      </c>
      <c r="B230" s="411" t="s">
        <v>664</v>
      </c>
      <c r="C230" s="414">
        <v>2.9018246652453197</v>
      </c>
      <c r="D230" s="525" t="s">
        <v>153</v>
      </c>
      <c r="E230" s="411" t="s">
        <v>247</v>
      </c>
      <c r="F230" s="414">
        <v>5</v>
      </c>
      <c r="G230" s="414" t="s">
        <v>243</v>
      </c>
      <c r="H230" s="366"/>
      <c r="J230" s="411" t="s">
        <v>665</v>
      </c>
    </row>
    <row r="231" spans="1:10" ht="9.75" customHeight="1">
      <c r="A231" s="411" t="str">
        <f>'12.lan'!D548</f>
        <v>VUT Vanuatu</v>
      </c>
      <c r="B231" s="411" t="s">
        <v>666</v>
      </c>
      <c r="C231" s="414">
        <v>1.031133081245736</v>
      </c>
      <c r="D231" s="525" t="s">
        <v>153</v>
      </c>
      <c r="E231" s="411" t="s">
        <v>264</v>
      </c>
      <c r="F231" s="414">
        <v>4.05</v>
      </c>
      <c r="G231" s="414" t="s">
        <v>243</v>
      </c>
      <c r="H231" s="366"/>
      <c r="J231" s="411" t="s">
        <v>667</v>
      </c>
    </row>
    <row r="232" spans="1:10" ht="9.75" customHeight="1">
      <c r="A232" s="411" t="str">
        <f>'12.lan'!D549</f>
        <v>WSM Samoa</v>
      </c>
      <c r="B232" s="411" t="s">
        <v>668</v>
      </c>
      <c r="C232" s="414">
        <v>1.5498211813475968</v>
      </c>
      <c r="D232" s="525" t="s">
        <v>153</v>
      </c>
      <c r="E232" s="411" t="s">
        <v>264</v>
      </c>
      <c r="F232" s="414">
        <v>4.05</v>
      </c>
      <c r="G232" s="414" t="s">
        <v>243</v>
      </c>
      <c r="H232" s="366"/>
      <c r="J232" s="411" t="s">
        <v>669</v>
      </c>
    </row>
    <row r="233" spans="1:10" ht="9.75" customHeight="1">
      <c r="A233" s="411" t="str">
        <f>'12.lan'!D550</f>
        <v>XKX Kosovo</v>
      </c>
      <c r="B233" s="411" t="s">
        <v>670</v>
      </c>
      <c r="C233" s="414">
        <v>2.6377578230191174</v>
      </c>
      <c r="D233" s="525" t="s">
        <v>153</v>
      </c>
      <c r="E233" s="411" t="s">
        <v>253</v>
      </c>
      <c r="F233" s="414">
        <v>2.5499999999999998</v>
      </c>
      <c r="G233" s="414" t="s">
        <v>243</v>
      </c>
      <c r="H233" s="366"/>
      <c r="J233" s="411" t="s">
        <v>671</v>
      </c>
    </row>
    <row r="234" spans="1:10" ht="9.75" customHeight="1">
      <c r="A234" s="411" t="str">
        <f>'12.lan'!D551</f>
        <v>YEM Jemen</v>
      </c>
      <c r="B234" s="411" t="s">
        <v>672</v>
      </c>
      <c r="C234" s="414">
        <v>2.7267081851276931</v>
      </c>
      <c r="D234" s="525" t="s">
        <v>153</v>
      </c>
      <c r="E234" s="411" t="s">
        <v>247</v>
      </c>
      <c r="F234" s="414">
        <v>6</v>
      </c>
      <c r="G234" s="414" t="s">
        <v>243</v>
      </c>
      <c r="H234" s="366"/>
      <c r="J234" s="411" t="s">
        <v>673</v>
      </c>
    </row>
    <row r="235" spans="1:10" ht="9.75" customHeight="1">
      <c r="A235" s="411" t="str">
        <f>'12.lan'!D552</f>
        <v>ZAF Südafrika</v>
      </c>
      <c r="B235" s="411" t="s">
        <v>674</v>
      </c>
      <c r="C235" s="414">
        <v>2.1472892715506822</v>
      </c>
      <c r="D235" s="525" t="s">
        <v>153</v>
      </c>
      <c r="E235" s="411" t="s">
        <v>250</v>
      </c>
      <c r="F235" s="414">
        <v>2</v>
      </c>
      <c r="G235" s="414"/>
      <c r="H235" s="366"/>
      <c r="I235" s="413"/>
      <c r="J235" s="411" t="s">
        <v>675</v>
      </c>
    </row>
    <row r="236" spans="1:10" ht="9.75" customHeight="1">
      <c r="A236" s="411" t="str">
        <f>'12.lan'!D553</f>
        <v>ZMB Sambia</v>
      </c>
      <c r="B236" s="411" t="s">
        <v>676</v>
      </c>
      <c r="C236" s="414">
        <v>2.742974545665072</v>
      </c>
      <c r="D236" s="525" t="s">
        <v>153</v>
      </c>
      <c r="E236" s="411" t="s">
        <v>250</v>
      </c>
      <c r="F236" s="414">
        <v>4</v>
      </c>
      <c r="G236" s="414"/>
      <c r="H236" s="366"/>
      <c r="J236" s="411" t="s">
        <v>677</v>
      </c>
    </row>
    <row r="237" spans="1:10" ht="9.75" customHeight="1">
      <c r="A237" s="411" t="str">
        <f>'12.lan'!D554</f>
        <v>ZWE Simbabwe</v>
      </c>
      <c r="B237" s="411" t="s">
        <v>678</v>
      </c>
      <c r="C237" s="414">
        <v>1.411177506781591</v>
      </c>
      <c r="D237" s="525" t="s">
        <v>153</v>
      </c>
      <c r="E237" s="411" t="s">
        <v>250</v>
      </c>
      <c r="F237" s="414">
        <v>5</v>
      </c>
      <c r="G237" s="414"/>
      <c r="H237" s="366"/>
      <c r="J237" s="411" t="s">
        <v>679</v>
      </c>
    </row>
    <row r="238" spans="1:10" ht="9.75" customHeight="1">
      <c r="A238" s="411" t="str">
        <f>'12.lan'!D555</f>
        <v>Durchschnitt Afrika</v>
      </c>
      <c r="B238" s="411" t="s">
        <v>250</v>
      </c>
      <c r="C238" s="419">
        <v>2.514550394779445</v>
      </c>
      <c r="D238" s="419"/>
      <c r="E238" s="411"/>
      <c r="F238" s="419">
        <v>3.79</v>
      </c>
      <c r="G238" s="411"/>
      <c r="H238" s="366"/>
      <c r="J238" s="411" t="s">
        <v>680</v>
      </c>
    </row>
    <row r="239" spans="1:10" ht="9.75" customHeight="1">
      <c r="A239" s="411" t="str">
        <f>'12.lan'!D556</f>
        <v>Durchschnitt Amerika</v>
      </c>
      <c r="B239" s="411" t="s">
        <v>244</v>
      </c>
      <c r="C239" s="419">
        <v>1.174862337774593</v>
      </c>
      <c r="D239" s="419"/>
      <c r="E239" s="411"/>
      <c r="F239" s="414">
        <v>3.52</v>
      </c>
      <c r="G239" s="411"/>
      <c r="H239" s="366"/>
      <c r="J239" s="411" t="s">
        <v>681</v>
      </c>
    </row>
    <row r="240" spans="1:10" ht="9.75" customHeight="1">
      <c r="A240" s="411" t="str">
        <f>'12.lan'!D557</f>
        <v>Durchschnitt Asien</v>
      </c>
      <c r="B240" s="420" t="s">
        <v>247</v>
      </c>
      <c r="C240" s="419">
        <v>2.5752604968031712</v>
      </c>
      <c r="D240" s="420"/>
      <c r="E240" s="411"/>
      <c r="F240" s="419">
        <v>4.47</v>
      </c>
      <c r="G240" s="411"/>
      <c r="H240" s="366"/>
      <c r="J240" s="411" t="s">
        <v>682</v>
      </c>
    </row>
    <row r="241" spans="1:10" ht="9.75" customHeight="1">
      <c r="A241" s="411" t="str">
        <f>'12.lan'!D558</f>
        <v>Durchschnitt Europa</v>
      </c>
      <c r="B241" s="411" t="s">
        <v>253</v>
      </c>
      <c r="C241" s="419">
        <v>1.0331402674066741</v>
      </c>
      <c r="D241" s="419"/>
      <c r="E241" s="411"/>
      <c r="F241" s="419">
        <v>2.5499999999999998</v>
      </c>
      <c r="G241" s="411"/>
      <c r="H241" s="366"/>
      <c r="J241" s="411" t="s">
        <v>683</v>
      </c>
    </row>
    <row r="242" spans="1:10" ht="9.75" customHeight="1">
      <c r="A242" s="411" t="str">
        <f>'12.lan'!D559</f>
        <v>Durchschnitt Ozeanien</v>
      </c>
      <c r="B242" s="420" t="s">
        <v>264</v>
      </c>
      <c r="C242" s="419">
        <v>1.4985868712925843</v>
      </c>
      <c r="D242" s="419"/>
      <c r="E242" s="411"/>
      <c r="F242" s="419">
        <v>4.05</v>
      </c>
      <c r="G242" s="411"/>
      <c r="H242" s="366"/>
      <c r="J242" s="411" t="s">
        <v>684</v>
      </c>
    </row>
    <row r="243" spans="1:10" ht="9.75" customHeight="1">
      <c r="A243" s="411" t="str">
        <f>'12.lan'!D560</f>
        <v>Durchschnitt Welt</v>
      </c>
      <c r="B243" s="365"/>
      <c r="C243" s="365">
        <v>1.0030456687149514</v>
      </c>
      <c r="D243" s="365"/>
      <c r="E243" s="421"/>
      <c r="F243" s="421">
        <v>3.2380952380952381</v>
      </c>
      <c r="G243" s="422"/>
      <c r="H243" s="366"/>
      <c r="J243" s="365" t="s">
        <v>685</v>
      </c>
    </row>
    <row r="244" spans="1:10" ht="9.75" customHeight="1">
      <c r="B244" s="365"/>
      <c r="C244" s="365">
        <v>1.834346114968979</v>
      </c>
      <c r="D244" s="365"/>
      <c r="E244" s="421"/>
      <c r="F244" s="421"/>
      <c r="G244" s="422"/>
      <c r="H244" s="366"/>
    </row>
    <row r="245" spans="1:10" ht="9.75" customHeight="1">
      <c r="B245" s="365"/>
      <c r="C245" s="413">
        <v>3.7231875078645835</v>
      </c>
      <c r="D245" s="413"/>
      <c r="E245" s="423"/>
      <c r="F245" s="423"/>
      <c r="G245" s="424"/>
      <c r="H245" s="412"/>
      <c r="I245" s="413"/>
    </row>
    <row r="246" spans="1:10" ht="9.75" customHeight="1">
      <c r="B246" s="365"/>
      <c r="C246" s="365"/>
      <c r="D246" s="365"/>
      <c r="E246" s="421"/>
      <c r="F246" s="421"/>
      <c r="G246" s="422"/>
      <c r="H246" s="366"/>
    </row>
    <row r="247" spans="1:10" ht="9.75" customHeight="1">
      <c r="B247" s="365"/>
      <c r="C247" s="365"/>
      <c r="D247" s="365"/>
      <c r="E247" s="421"/>
      <c r="F247" s="421"/>
      <c r="G247" s="422"/>
      <c r="H247" s="366"/>
    </row>
    <row r="248" spans="1:10" ht="9.75" customHeight="1">
      <c r="B248" s="365"/>
      <c r="C248" s="365"/>
      <c r="D248" s="365"/>
      <c r="E248" s="421"/>
      <c r="F248" s="421"/>
      <c r="G248" s="422"/>
      <c r="H248" s="366"/>
    </row>
    <row r="249" spans="1:10" ht="9.75" customHeight="1">
      <c r="B249" s="365"/>
      <c r="C249" s="365"/>
      <c r="D249" s="365"/>
      <c r="E249" s="421"/>
      <c r="F249" s="421"/>
      <c r="G249" s="422"/>
      <c r="H249" s="366"/>
    </row>
    <row r="250" spans="1:10" ht="9.75" customHeight="1">
      <c r="B250" s="365"/>
      <c r="C250" s="365"/>
      <c r="D250" s="365"/>
      <c r="E250" s="421"/>
      <c r="F250" s="421"/>
      <c r="G250" s="422"/>
      <c r="H250" s="366"/>
    </row>
    <row r="251" spans="1:10" ht="9.75" customHeight="1">
      <c r="B251" s="365"/>
      <c r="C251" s="365"/>
      <c r="D251" s="365"/>
      <c r="E251" s="421"/>
      <c r="F251" s="421"/>
      <c r="G251" s="422"/>
      <c r="H251" s="366"/>
    </row>
    <row r="252" spans="1:10" ht="9.75" customHeight="1">
      <c r="B252" s="365"/>
      <c r="C252" s="365"/>
      <c r="D252" s="365"/>
      <c r="E252" s="421"/>
      <c r="F252" s="421"/>
      <c r="G252" s="422"/>
      <c r="H252" s="366"/>
    </row>
    <row r="253" spans="1:10" ht="9.75" customHeight="1">
      <c r="B253" s="365"/>
      <c r="C253" s="365"/>
      <c r="D253" s="365"/>
      <c r="E253" s="421"/>
      <c r="F253" s="421"/>
      <c r="G253" s="422"/>
      <c r="H253" s="366"/>
    </row>
    <row r="254" spans="1:10" ht="9.75" customHeight="1">
      <c r="B254" s="365"/>
      <c r="C254" s="365"/>
      <c r="D254" s="365"/>
      <c r="E254" s="421"/>
      <c r="F254" s="421"/>
      <c r="G254" s="422"/>
      <c r="H254" s="366"/>
    </row>
    <row r="255" spans="1:10" ht="9.75" customHeight="1">
      <c r="B255" s="365"/>
      <c r="C255" s="365"/>
      <c r="D255" s="365"/>
      <c r="E255" s="421"/>
      <c r="F255" s="421"/>
      <c r="G255" s="422"/>
      <c r="H255" s="366"/>
    </row>
    <row r="256" spans="1:10" ht="9.75" customHeight="1">
      <c r="B256" s="365"/>
      <c r="C256" s="365"/>
      <c r="D256" s="365"/>
      <c r="E256" s="421"/>
      <c r="F256" s="421"/>
      <c r="G256" s="422"/>
      <c r="H256" s="366"/>
    </row>
    <row r="257" spans="5:8" s="365" customFormat="1" ht="9.75" customHeight="1">
      <c r="E257" s="421"/>
      <c r="F257" s="421"/>
      <c r="G257" s="422"/>
      <c r="H257" s="366"/>
    </row>
    <row r="258" spans="5:8" s="365" customFormat="1" ht="9.75" customHeight="1">
      <c r="E258" s="421"/>
      <c r="F258" s="421"/>
      <c r="G258" s="422"/>
      <c r="H258" s="366"/>
    </row>
    <row r="259" spans="5:8" s="365" customFormat="1" ht="9.75" customHeight="1">
      <c r="E259" s="421"/>
      <c r="F259" s="421"/>
      <c r="G259" s="422"/>
      <c r="H259" s="366"/>
    </row>
    <row r="260" spans="5:8" s="365" customFormat="1" ht="9.75" customHeight="1">
      <c r="E260" s="421"/>
      <c r="F260" s="421"/>
      <c r="G260" s="422"/>
      <c r="H260" s="366"/>
    </row>
    <row r="261" spans="5:8" s="365" customFormat="1" ht="9.75" customHeight="1">
      <c r="E261" s="421"/>
      <c r="F261" s="421"/>
      <c r="G261" s="422"/>
      <c r="H261" s="366"/>
    </row>
    <row r="262" spans="5:8" s="365" customFormat="1" ht="9.75" customHeight="1">
      <c r="E262" s="421"/>
      <c r="F262" s="421"/>
      <c r="G262" s="422"/>
      <c r="H262" s="366"/>
    </row>
    <row r="263" spans="5:8" s="365" customFormat="1" ht="9.75" customHeight="1">
      <c r="E263" s="421"/>
      <c r="F263" s="421"/>
      <c r="G263" s="422"/>
      <c r="H263" s="366"/>
    </row>
    <row r="264" spans="5:8" s="365" customFormat="1" ht="9.75" customHeight="1">
      <c r="E264" s="421"/>
      <c r="F264" s="421"/>
      <c r="G264" s="422"/>
      <c r="H264" s="366"/>
    </row>
    <row r="265" spans="5:8" s="365" customFormat="1" ht="9.75" customHeight="1">
      <c r="E265" s="421"/>
      <c r="F265" s="421"/>
      <c r="G265" s="422"/>
      <c r="H265" s="366"/>
    </row>
    <row r="266" spans="5:8" s="365" customFormat="1" ht="9.75" customHeight="1">
      <c r="E266" s="421"/>
      <c r="F266" s="421"/>
      <c r="G266" s="422"/>
      <c r="H266" s="366"/>
    </row>
    <row r="267" spans="5:8" s="365" customFormat="1" ht="9.75" customHeight="1">
      <c r="E267" s="421"/>
      <c r="F267" s="421"/>
      <c r="G267" s="422"/>
      <c r="H267" s="366"/>
    </row>
    <row r="268" spans="5:8" s="365" customFormat="1" ht="9.75" customHeight="1">
      <c r="E268" s="421"/>
      <c r="F268" s="421"/>
      <c r="G268" s="422"/>
      <c r="H268" s="366"/>
    </row>
    <row r="269" spans="5:8" s="365" customFormat="1" ht="9.75" customHeight="1">
      <c r="E269" s="421"/>
      <c r="F269" s="421"/>
      <c r="G269" s="422"/>
      <c r="H269" s="366"/>
    </row>
    <row r="270" spans="5:8" s="365" customFormat="1" ht="9.75" customHeight="1">
      <c r="E270" s="421"/>
      <c r="F270" s="421"/>
      <c r="G270" s="422"/>
      <c r="H270" s="366"/>
    </row>
    <row r="271" spans="5:8" s="365" customFormat="1" ht="9.75" customHeight="1">
      <c r="E271" s="421"/>
      <c r="F271" s="421"/>
      <c r="G271" s="422"/>
      <c r="H271" s="366"/>
    </row>
    <row r="272" spans="5:8" s="365" customFormat="1" ht="9.75" customHeight="1">
      <c r="E272" s="421"/>
      <c r="F272" s="421"/>
      <c r="G272" s="422"/>
      <c r="H272" s="366"/>
    </row>
    <row r="273" spans="2:9" ht="9.75" customHeight="1">
      <c r="B273" s="365"/>
      <c r="C273" s="365"/>
      <c r="D273" s="365"/>
      <c r="E273" s="421"/>
      <c r="F273" s="421"/>
      <c r="G273" s="422"/>
      <c r="H273" s="366"/>
    </row>
    <row r="274" spans="2:9" ht="9.75" customHeight="1">
      <c r="B274" s="365"/>
      <c r="C274" s="365"/>
      <c r="D274" s="365"/>
      <c r="E274" s="421"/>
      <c r="F274" s="421"/>
      <c r="G274" s="422"/>
      <c r="H274" s="366"/>
    </row>
    <row r="275" spans="2:9" ht="9.75" customHeight="1">
      <c r="B275" s="365"/>
      <c r="C275" s="365"/>
      <c r="D275" s="365"/>
      <c r="E275" s="421"/>
      <c r="F275" s="421"/>
      <c r="G275" s="422"/>
      <c r="H275" s="366"/>
    </row>
    <row r="276" spans="2:9" ht="9.75" customHeight="1">
      <c r="B276" s="365"/>
      <c r="C276" s="365"/>
      <c r="D276" s="365"/>
      <c r="E276" s="421"/>
      <c r="F276" s="421"/>
      <c r="G276" s="422"/>
      <c r="H276" s="366"/>
    </row>
    <row r="277" spans="2:9" ht="9.75" customHeight="1">
      <c r="B277" s="413"/>
      <c r="C277" s="413"/>
      <c r="D277" s="413"/>
      <c r="E277" s="423"/>
      <c r="F277" s="423"/>
      <c r="G277" s="424"/>
      <c r="H277" s="412"/>
      <c r="I277" s="413"/>
    </row>
    <row r="278" spans="2:9" ht="9.75" customHeight="1">
      <c r="B278" s="365"/>
      <c r="C278" s="365"/>
      <c r="D278" s="365"/>
      <c r="E278" s="421"/>
      <c r="F278" s="421"/>
      <c r="G278" s="422"/>
      <c r="H278" s="366"/>
      <c r="I278" s="417"/>
    </row>
    <row r="279" spans="2:9" ht="9.75" customHeight="1">
      <c r="B279" s="365"/>
      <c r="C279" s="365"/>
      <c r="D279" s="365"/>
      <c r="E279" s="421"/>
      <c r="F279" s="421"/>
      <c r="G279" s="422"/>
      <c r="H279" s="366"/>
    </row>
    <row r="280" spans="2:9" ht="9.75" customHeight="1">
      <c r="B280" s="365"/>
      <c r="C280" s="365"/>
      <c r="D280" s="365"/>
      <c r="E280" s="421"/>
      <c r="F280" s="421"/>
      <c r="G280" s="422"/>
      <c r="H280" s="366"/>
    </row>
    <row r="281" spans="2:9" ht="9.75" customHeight="1">
      <c r="B281" s="365"/>
      <c r="C281" s="365"/>
      <c r="D281" s="365"/>
      <c r="E281" s="421"/>
      <c r="F281" s="421"/>
      <c r="G281" s="422"/>
      <c r="H281" s="366"/>
    </row>
    <row r="282" spans="2:9" ht="9.75" customHeight="1">
      <c r="B282" s="365"/>
      <c r="C282" s="365"/>
      <c r="D282" s="365"/>
      <c r="E282" s="421"/>
      <c r="F282" s="421"/>
      <c r="G282" s="422"/>
      <c r="H282" s="366"/>
    </row>
    <row r="283" spans="2:9" ht="9.75" customHeight="1">
      <c r="B283" s="365"/>
      <c r="C283" s="365"/>
      <c r="D283" s="365"/>
      <c r="E283" s="421"/>
      <c r="F283" s="421"/>
      <c r="G283" s="422"/>
      <c r="H283" s="366"/>
    </row>
    <row r="284" spans="2:9" ht="9.75" customHeight="1">
      <c r="B284" s="365"/>
      <c r="C284" s="365"/>
      <c r="D284" s="365"/>
      <c r="E284" s="421"/>
      <c r="F284" s="421"/>
      <c r="G284" s="422"/>
      <c r="H284" s="366"/>
    </row>
    <row r="285" spans="2:9" ht="9.75" customHeight="1">
      <c r="B285" s="365"/>
      <c r="C285" s="365"/>
      <c r="D285" s="365"/>
      <c r="E285" s="421"/>
      <c r="F285" s="421"/>
      <c r="G285" s="422"/>
      <c r="H285" s="366"/>
    </row>
    <row r="286" spans="2:9" ht="9.75" customHeight="1">
      <c r="B286" s="365"/>
      <c r="C286" s="365"/>
      <c r="D286" s="365"/>
      <c r="E286" s="421"/>
      <c r="F286" s="421"/>
      <c r="G286" s="422"/>
      <c r="H286" s="366"/>
    </row>
    <row r="287" spans="2:9" ht="9.75" customHeight="1">
      <c r="B287" s="365"/>
      <c r="C287" s="365"/>
      <c r="D287" s="365"/>
      <c r="E287" s="421"/>
      <c r="F287" s="421"/>
      <c r="G287" s="422"/>
      <c r="H287" s="366"/>
    </row>
    <row r="288" spans="2:9" ht="9.75" customHeight="1">
      <c r="B288" s="365"/>
      <c r="C288" s="365"/>
      <c r="D288" s="365"/>
      <c r="E288" s="421"/>
      <c r="F288" s="421"/>
      <c r="G288" s="422"/>
      <c r="H288" s="366"/>
    </row>
    <row r="289" spans="5:8" s="365" customFormat="1" ht="9.75" customHeight="1">
      <c r="E289" s="421"/>
      <c r="F289" s="421"/>
      <c r="G289" s="422"/>
      <c r="H289" s="366"/>
    </row>
    <row r="290" spans="5:8" s="365" customFormat="1" ht="9.75" customHeight="1">
      <c r="E290" s="421"/>
      <c r="F290" s="421"/>
      <c r="G290" s="422"/>
      <c r="H290" s="366"/>
    </row>
    <row r="291" spans="5:8" s="365" customFormat="1" ht="9.75" customHeight="1">
      <c r="E291" s="421"/>
      <c r="F291" s="421"/>
      <c r="G291" s="422"/>
      <c r="H291" s="366"/>
    </row>
    <row r="292" spans="5:8" s="365" customFormat="1" ht="9.75" customHeight="1">
      <c r="E292" s="421"/>
      <c r="F292" s="421"/>
      <c r="G292" s="422"/>
      <c r="H292" s="366"/>
    </row>
    <row r="293" spans="5:8" s="365" customFormat="1" ht="9.75" customHeight="1">
      <c r="E293" s="425"/>
      <c r="F293" s="425"/>
      <c r="G293" s="426"/>
      <c r="H293" s="366"/>
    </row>
  </sheetData>
  <sheetProtection algorithmName="SHA-512" hashValue="/35c1VEwIFUnNnD9khTV/X8t8BRFBJOHIo0ITimB5F4RtR+y34+OIu6YQAz0z7usX31PD/NUH/jV2nPRv5qi3g==" saltValue="lWASaqzaM6pQ6CojWhocjA==" spinCount="100000" sheet="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K65536"/>
  <sheetViews>
    <sheetView zoomScale="75" zoomScaleNormal="75" workbookViewId="0">
      <pane ySplit="5220" topLeftCell="A211"/>
      <selection pane="bottomLeft" activeCell="G213" sqref="G213"/>
    </sheetView>
  </sheetViews>
  <sheetFormatPr baseColWidth="10" defaultColWidth="10.33203125" defaultRowHeight="14.1" customHeight="1"/>
  <cols>
    <col min="1" max="1" width="10.33203125" style="439" customWidth="1"/>
    <col min="2" max="2" width="27.33203125" style="439" customWidth="1"/>
    <col min="3" max="3" width="10.33203125" style="439" customWidth="1"/>
    <col min="4" max="4" width="56.6640625" style="439" customWidth="1"/>
    <col min="5" max="5" width="43" style="439" customWidth="1"/>
    <col min="6" max="6" width="43" style="442" customWidth="1"/>
    <col min="7" max="9" width="43" style="439" customWidth="1"/>
    <col min="10" max="10" width="10.33203125" style="439" customWidth="1"/>
    <col min="11" max="11" width="10.33203125" style="443" customWidth="1"/>
    <col min="12" max="16384" width="10.33203125" style="439"/>
  </cols>
  <sheetData>
    <row r="1" spans="1:9" ht="20.100000000000001" customHeight="1">
      <c r="C1" s="440">
        <f>VLOOKUP('0. Intro'!B1,'12.lan'!B2:C12,2,FALSE)</f>
        <v>1</v>
      </c>
      <c r="D1" s="441">
        <f t="shared" ref="D1:D37" si="0">HLOOKUP($C$1,$E$1:$V$4910,ROW(D1))</f>
        <v>1</v>
      </c>
      <c r="E1" s="439">
        <v>1</v>
      </c>
      <c r="F1" s="442">
        <v>2</v>
      </c>
      <c r="G1" s="439">
        <v>3</v>
      </c>
      <c r="H1" s="439">
        <v>4</v>
      </c>
      <c r="I1" s="439">
        <v>5</v>
      </c>
    </row>
    <row r="2" spans="1:9" ht="14.1" customHeight="1">
      <c r="A2" s="439">
        <v>3</v>
      </c>
      <c r="B2" s="444" t="s">
        <v>3030</v>
      </c>
      <c r="C2" s="439">
        <f>A2</f>
        <v>3</v>
      </c>
      <c r="D2" s="441" t="str">
        <f t="shared" si="0"/>
        <v>Deutsch</v>
      </c>
      <c r="E2" s="445" t="s">
        <v>686</v>
      </c>
      <c r="F2" s="445" t="s">
        <v>687</v>
      </c>
      <c r="G2" s="446" t="s">
        <v>688</v>
      </c>
      <c r="H2" s="447" t="s">
        <v>689</v>
      </c>
      <c r="I2" s="445" t="s">
        <v>690</v>
      </c>
    </row>
    <row r="3" spans="1:9" ht="14.1" customHeight="1">
      <c r="A3" s="439">
        <v>1</v>
      </c>
      <c r="B3" s="442" t="s">
        <v>686</v>
      </c>
      <c r="C3" s="439">
        <f>A3</f>
        <v>1</v>
      </c>
      <c r="D3" s="441">
        <f t="shared" si="0"/>
        <v>0</v>
      </c>
      <c r="E3" s="442"/>
      <c r="G3" s="448"/>
      <c r="H3" s="442"/>
      <c r="I3" s="442"/>
    </row>
    <row r="4" spans="1:9" ht="15.75" customHeight="1">
      <c r="A4" s="439">
        <v>2</v>
      </c>
      <c r="B4" s="442" t="s">
        <v>687</v>
      </c>
      <c r="C4" s="439">
        <f t="shared" ref="C4:C12" si="1">A4</f>
        <v>2</v>
      </c>
      <c r="D4" s="441" t="str">
        <f t="shared" si="0"/>
        <v>GEMEINWOHL-RECHNER</v>
      </c>
      <c r="E4" s="442" t="s">
        <v>691</v>
      </c>
      <c r="F4" s="449" t="s">
        <v>692</v>
      </c>
      <c r="G4" s="448" t="s">
        <v>693</v>
      </c>
      <c r="H4" s="442" t="s">
        <v>694</v>
      </c>
      <c r="I4" s="442" t="s">
        <v>3065</v>
      </c>
    </row>
    <row r="5" spans="1:9" ht="15.75" customHeight="1">
      <c r="A5" s="439">
        <v>3</v>
      </c>
      <c r="B5" s="442" t="s">
        <v>688</v>
      </c>
      <c r="C5" s="439">
        <f t="shared" si="1"/>
        <v>3</v>
      </c>
      <c r="D5" s="441" t="str">
        <f t="shared" si="0"/>
        <v>© GWÖ</v>
      </c>
      <c r="E5" s="442" t="s">
        <v>695</v>
      </c>
      <c r="F5" s="449" t="s">
        <v>696</v>
      </c>
      <c r="G5" s="448" t="s">
        <v>697</v>
      </c>
      <c r="H5" s="442" t="s">
        <v>698</v>
      </c>
      <c r="I5" s="442" t="s">
        <v>3066</v>
      </c>
    </row>
    <row r="6" spans="1:9" ht="15.75" customHeight="1">
      <c r="A6" s="439">
        <v>4</v>
      </c>
      <c r="B6" s="447" t="s">
        <v>689</v>
      </c>
      <c r="C6" s="439">
        <f t="shared" si="1"/>
        <v>4</v>
      </c>
      <c r="D6" s="441" t="str">
        <f t="shared" si="0"/>
        <v>Version</v>
      </c>
      <c r="E6" s="450" t="s">
        <v>699</v>
      </c>
      <c r="F6" s="450" t="s">
        <v>700</v>
      </c>
      <c r="G6" s="451" t="s">
        <v>699</v>
      </c>
      <c r="H6" s="442" t="s">
        <v>701</v>
      </c>
      <c r="I6" s="442" t="s">
        <v>699</v>
      </c>
    </row>
    <row r="7" spans="1:9" ht="15.75" customHeight="1">
      <c r="A7" s="439">
        <v>5</v>
      </c>
      <c r="B7" s="442" t="s">
        <v>690</v>
      </c>
      <c r="C7" s="439">
        <f t="shared" si="1"/>
        <v>5</v>
      </c>
      <c r="D7" s="441" t="str">
        <f t="shared" si="0"/>
        <v>HERZLICH WILLKOMMEN!</v>
      </c>
      <c r="E7" s="449" t="s">
        <v>702</v>
      </c>
      <c r="F7" s="449" t="s">
        <v>703</v>
      </c>
      <c r="G7" s="452" t="s">
        <v>704</v>
      </c>
      <c r="H7" s="442" t="s">
        <v>705</v>
      </c>
      <c r="I7" s="442" t="s">
        <v>3067</v>
      </c>
    </row>
    <row r="8" spans="1:9" ht="81.599999999999994" customHeight="1">
      <c r="A8" s="439">
        <v>6</v>
      </c>
      <c r="B8" s="442"/>
      <c r="C8" s="439">
        <f t="shared" si="1"/>
        <v>6</v>
      </c>
      <c r="D8" s="441" t="str">
        <f t="shared" si="0"/>
        <v>Dieses Tool dient zur Berechnung der Gemeinwohl-Punkte Ihres Unternehmens. Es ist eine Ergänzung zum Gemeinwohlbericht und muss gemeinsam mit diesem genutzt werden.  Wir wünschen gutes Gelingen!</v>
      </c>
      <c r="E8" s="442" t="s">
        <v>706</v>
      </c>
      <c r="F8" s="442" t="s">
        <v>707</v>
      </c>
      <c r="G8" s="453" t="s">
        <v>708</v>
      </c>
      <c r="H8" s="442" t="s">
        <v>709</v>
      </c>
      <c r="I8" s="442" t="s">
        <v>3344</v>
      </c>
    </row>
    <row r="9" spans="1:9" ht="28.5" customHeight="1">
      <c r="A9" s="439">
        <v>7</v>
      </c>
      <c r="B9" s="442"/>
      <c r="C9" s="439">
        <f t="shared" si="1"/>
        <v>7</v>
      </c>
      <c r="D9" s="441" t="str">
        <f t="shared" si="0"/>
        <v>WIE SIE DEN BILANZ-RECHNER RICHTIG VERWENDEN:</v>
      </c>
      <c r="E9" s="442" t="s">
        <v>710</v>
      </c>
      <c r="F9" s="442" t="s">
        <v>711</v>
      </c>
      <c r="G9" s="448" t="s">
        <v>712</v>
      </c>
      <c r="H9" s="442" t="s">
        <v>713</v>
      </c>
      <c r="I9" s="442" t="s">
        <v>3068</v>
      </c>
    </row>
    <row r="10" spans="1:9" ht="15.75" customHeight="1">
      <c r="A10" s="439">
        <v>8</v>
      </c>
      <c r="B10" s="442"/>
      <c r="C10" s="439">
        <f t="shared" si="1"/>
        <v>8</v>
      </c>
      <c r="D10" s="441" t="str">
        <f t="shared" si="0"/>
        <v>1. Allgemeines</v>
      </c>
      <c r="E10" s="442" t="s">
        <v>714</v>
      </c>
      <c r="F10" s="449" t="s">
        <v>715</v>
      </c>
      <c r="G10" s="448" t="s">
        <v>716</v>
      </c>
      <c r="H10" s="442" t="s">
        <v>716</v>
      </c>
      <c r="I10" s="442" t="s">
        <v>3069</v>
      </c>
    </row>
    <row r="11" spans="1:9" ht="28.5" customHeight="1">
      <c r="A11" s="439">
        <v>9</v>
      </c>
      <c r="B11" s="442"/>
      <c r="C11" s="439">
        <f t="shared" si="1"/>
        <v>9</v>
      </c>
      <c r="D11" s="441" t="str">
        <f t="shared" si="0"/>
        <v>Hier können Sie allgemeinen Angaben zu Ihrem Unternehmen machen.</v>
      </c>
      <c r="E11" s="442" t="s">
        <v>717</v>
      </c>
      <c r="F11" s="442" t="s">
        <v>718</v>
      </c>
      <c r="G11" s="448" t="s">
        <v>719</v>
      </c>
      <c r="H11" s="442" t="s">
        <v>720</v>
      </c>
      <c r="I11" s="442" t="s">
        <v>3070</v>
      </c>
    </row>
    <row r="12" spans="1:9" ht="41.85" customHeight="1">
      <c r="A12" s="439">
        <v>10</v>
      </c>
      <c r="B12" s="442"/>
      <c r="C12" s="439">
        <f t="shared" si="1"/>
        <v>10</v>
      </c>
      <c r="D12" s="441" t="str">
        <f t="shared" si="0"/>
        <v xml:space="preserve">Hier müssen alle geforderten Kenngrößen eingetragen werden, da diese für die Gewichtung der Themen essentiell sind. </v>
      </c>
      <c r="E12" s="442" t="s">
        <v>721</v>
      </c>
      <c r="F12" s="442" t="s">
        <v>722</v>
      </c>
      <c r="G12" s="448" t="s">
        <v>723</v>
      </c>
      <c r="H12" s="442" t="s">
        <v>724</v>
      </c>
      <c r="I12" s="442" t="s">
        <v>3071</v>
      </c>
    </row>
    <row r="13" spans="1:9" ht="54.75" customHeight="1">
      <c r="A13" s="439">
        <v>11</v>
      </c>
      <c r="B13" s="442"/>
      <c r="C13" s="454"/>
      <c r="D13" s="441" t="str">
        <f t="shared" si="0"/>
        <v>Für jedes Thema (A1, B1, ...) kann eine bestimmte Anzahl an Gemeinwohl-Punkten erreicht werden. Um zu ermitteln, wie viele davon Ihr Unternehmen erhält, gehen Sie wie folgt vor:</v>
      </c>
      <c r="E13" s="442" t="s">
        <v>725</v>
      </c>
      <c r="F13" s="442" t="s">
        <v>726</v>
      </c>
      <c r="G13" s="448" t="s">
        <v>727</v>
      </c>
      <c r="H13" s="442" t="s">
        <v>728</v>
      </c>
      <c r="I13" s="442" t="s">
        <v>3345</v>
      </c>
    </row>
    <row r="14" spans="1:9" ht="68.25" customHeight="1">
      <c r="A14" s="439">
        <v>12</v>
      </c>
      <c r="B14" s="442"/>
      <c r="C14" s="454"/>
      <c r="D14" s="441" t="str">
        <f t="shared" si="0"/>
        <v>Beschreiben Sie auf Basis des Arbeitsbuchs in wenigen Stichworten Ist-Zustand und Verbesserungspotenzial für die verschiedenen Aspekte (optional, ist für die Berechnung nicht unbedingt notwendig).</v>
      </c>
      <c r="E14" s="427" t="s">
        <v>729</v>
      </c>
      <c r="F14" s="442" t="s">
        <v>730</v>
      </c>
      <c r="G14" s="448" t="s">
        <v>731</v>
      </c>
      <c r="H14" s="442" t="s">
        <v>732</v>
      </c>
      <c r="I14" s="442" t="s">
        <v>3072</v>
      </c>
    </row>
    <row r="15" spans="1:9" ht="94.5" customHeight="1">
      <c r="A15" s="439">
        <v>13</v>
      </c>
      <c r="B15" s="442"/>
      <c r="C15" s="454"/>
      <c r="D15" s="441" t="str">
        <f t="shared" si="0"/>
        <v>Geben Sie - aufbauend auf diesen Beschreibungen - an, entsprechend welchem Skalenwert (0-10) Ihrer Meinung nach der jeweilige Aspekt erfüllt ist (Spalte "Erfüllungsgrad"). Anhaltspunkte zur Wahl des "richtigen" Skalenwerts finden Sie wiederum im Arbeitsbuch.</v>
      </c>
      <c r="E15" s="455" t="s">
        <v>733</v>
      </c>
      <c r="F15" s="442" t="s">
        <v>734</v>
      </c>
      <c r="G15" s="448" t="s">
        <v>735</v>
      </c>
      <c r="H15" s="442" t="s">
        <v>736</v>
      </c>
      <c r="I15" s="442" t="s">
        <v>3073</v>
      </c>
    </row>
    <row r="16" spans="1:9" ht="44.1" customHeight="1">
      <c r="A16" s="439">
        <v>14</v>
      </c>
      <c r="B16" s="442"/>
      <c r="C16" s="454"/>
      <c r="D16" s="441" t="str">
        <f t="shared" si="0"/>
        <v xml:space="preserve">Für die Bewertung der Negativaspekte geben Sie Punktewerte entsprechend der Beschreibungen im Arbeitsbuch an. </v>
      </c>
      <c r="E16" s="442" t="s">
        <v>737</v>
      </c>
      <c r="F16" s="442" t="s">
        <v>738</v>
      </c>
      <c r="G16" s="448" t="s">
        <v>739</v>
      </c>
      <c r="H16" s="442" t="s">
        <v>740</v>
      </c>
      <c r="I16" s="442" t="s">
        <v>3074</v>
      </c>
    </row>
    <row r="17" spans="1:9" ht="124.5" customHeight="1">
      <c r="A17" s="439">
        <v>15</v>
      </c>
      <c r="B17" s="442"/>
      <c r="C17" s="454"/>
      <c r="D17" s="441" t="str">
        <f t="shared" si="0"/>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E17" s="456" t="s">
        <v>741</v>
      </c>
      <c r="F17" s="442" t="s">
        <v>742</v>
      </c>
      <c r="G17" s="448" t="s">
        <v>743</v>
      </c>
      <c r="H17" s="442" t="s">
        <v>744</v>
      </c>
      <c r="I17" s="442" t="s">
        <v>3075</v>
      </c>
    </row>
    <row r="18" spans="1:9" ht="54.75" customHeight="1">
      <c r="A18" s="439">
        <v>16</v>
      </c>
      <c r="B18" s="442"/>
      <c r="C18" s="454"/>
      <c r="D18" s="441" t="str">
        <f t="shared" si="0"/>
        <v>Bei der Berechnung werden die Gesamtwerte pro Thema automatisch entsprechend der Angaben im Faktenblatt gewichtet und auf ganzzahlige Vielfache von 10% gerundet.</v>
      </c>
      <c r="E18" s="442" t="s">
        <v>745</v>
      </c>
      <c r="F18" s="442" t="s">
        <v>746</v>
      </c>
      <c r="G18" s="448" t="s">
        <v>747</v>
      </c>
      <c r="H18" s="442" t="s">
        <v>748</v>
      </c>
      <c r="I18" s="442" t="s">
        <v>3076</v>
      </c>
    </row>
    <row r="19" spans="1:9" ht="28.5" customHeight="1">
      <c r="B19" s="442"/>
      <c r="C19" s="454"/>
      <c r="D19" s="441" t="str">
        <f t="shared" si="0"/>
        <v>Die "GW-Matrix" bietet einen tabellarischen Überblick über Ihr Ergebnis.</v>
      </c>
      <c r="E19" s="442" t="s">
        <v>749</v>
      </c>
      <c r="F19" s="442" t="s">
        <v>750</v>
      </c>
      <c r="G19" s="448" t="s">
        <v>751</v>
      </c>
      <c r="H19" s="442" t="s">
        <v>752</v>
      </c>
      <c r="I19" s="442" t="s">
        <v>3077</v>
      </c>
    </row>
    <row r="20" spans="1:9" ht="41.85" customHeight="1">
      <c r="B20" s="454"/>
      <c r="C20" s="454"/>
      <c r="D20" s="441" t="str">
        <f t="shared" si="0"/>
        <v>Die "GW-Matrix" bietet einen tabellarischen Blick auf Ihr Ergebnis.</v>
      </c>
      <c r="E20" s="442" t="s">
        <v>753</v>
      </c>
      <c r="F20" s="442" t="s">
        <v>754</v>
      </c>
      <c r="G20" s="448" t="s">
        <v>755</v>
      </c>
      <c r="H20" s="442" t="s">
        <v>756</v>
      </c>
      <c r="I20" s="442" t="s">
        <v>3077</v>
      </c>
    </row>
    <row r="21" spans="1:9" ht="41.85" customHeight="1">
      <c r="B21" s="454"/>
      <c r="C21" s="454"/>
      <c r="D21" s="441" t="str">
        <f t="shared" si="0"/>
        <v>Der "Werte-Stern" zeigt schließlich Ihr Ergebnis nach Werten gegliedert in graphischer Form.</v>
      </c>
      <c r="E21" s="442" t="s">
        <v>757</v>
      </c>
      <c r="F21" s="442" t="s">
        <v>758</v>
      </c>
      <c r="G21" s="448" t="s">
        <v>759</v>
      </c>
      <c r="H21" s="442" t="s">
        <v>760</v>
      </c>
      <c r="I21" s="442" t="s">
        <v>3346</v>
      </c>
    </row>
    <row r="22" spans="1:9" ht="41.85" customHeight="1">
      <c r="B22" s="454"/>
      <c r="C22" s="454"/>
      <c r="D22" s="441" t="str">
        <f t="shared" si="0"/>
        <v>Der "Gruppen-Stern" zeigt schließlich Ihr Ergebnis nach Berührungsgruppen gegliedert in graphischer Form.</v>
      </c>
      <c r="E22" s="427" t="s">
        <v>761</v>
      </c>
      <c r="F22" s="442" t="s">
        <v>762</v>
      </c>
      <c r="G22" s="448" t="s">
        <v>763</v>
      </c>
      <c r="H22" s="442" t="s">
        <v>764</v>
      </c>
      <c r="I22" s="442" t="s">
        <v>3347</v>
      </c>
    </row>
    <row r="23" spans="1:9" ht="28.5" customHeight="1">
      <c r="B23" s="454"/>
      <c r="C23" s="454"/>
      <c r="D23" s="441" t="str">
        <f t="shared" si="0"/>
        <v>Der "Themen-Stern" zeigt schließlich Ihr Ergebnis in allen Themen in graphischer Form.</v>
      </c>
      <c r="E23" s="447" t="s">
        <v>765</v>
      </c>
      <c r="F23" s="442" t="s">
        <v>766</v>
      </c>
      <c r="G23" s="448" t="s">
        <v>767</v>
      </c>
      <c r="H23" s="442" t="s">
        <v>768</v>
      </c>
      <c r="I23" s="442" t="s">
        <v>3348</v>
      </c>
    </row>
    <row r="24" spans="1:9" ht="28.5" customHeight="1">
      <c r="B24" s="454"/>
      <c r="C24" s="454"/>
      <c r="D24" s="441" t="str">
        <f t="shared" si="0"/>
        <v xml:space="preserve">Hier finden Sie eine Beschreibung der Gewichtungsmodelles. </v>
      </c>
      <c r="E24" s="442" t="s">
        <v>769</v>
      </c>
      <c r="F24" s="442" t="s">
        <v>770</v>
      </c>
      <c r="G24" s="448" t="s">
        <v>771</v>
      </c>
      <c r="H24" s="442" t="s">
        <v>772</v>
      </c>
      <c r="I24" s="442" t="s">
        <v>3078</v>
      </c>
    </row>
    <row r="25" spans="1:9" ht="41.85" customHeight="1">
      <c r="B25" s="454"/>
      <c r="C25" s="454"/>
      <c r="D25" s="441" t="str">
        <f t="shared" si="0"/>
        <v>Hier erfolgt die Berechnung wie die einzelnen Berührungsgruppen und Themen gewichtet werden.</v>
      </c>
      <c r="E25" s="442" t="s">
        <v>773</v>
      </c>
      <c r="F25" s="442" t="s">
        <v>774</v>
      </c>
      <c r="G25" s="448" t="s">
        <v>775</v>
      </c>
      <c r="H25" s="442" t="s">
        <v>776</v>
      </c>
      <c r="I25" s="442" t="s">
        <v>3079</v>
      </c>
    </row>
    <row r="26" spans="1:9" ht="54.75" customHeight="1">
      <c r="B26" s="454"/>
      <c r="C26" s="454"/>
      <c r="D26" s="441" t="str">
        <f t="shared" si="0"/>
        <v xml:space="preserve">Enthält Einschätzungen der Relevanz von Zulieferkette und ökologische Nachhaltigkeit für alle Branchen,, die für die Gewichtung herangezogen werden. </v>
      </c>
      <c r="E26" s="442" t="s">
        <v>777</v>
      </c>
      <c r="F26" s="442" t="s">
        <v>778</v>
      </c>
      <c r="G26" s="448" t="s">
        <v>779</v>
      </c>
      <c r="H26" s="442" t="s">
        <v>780</v>
      </c>
      <c r="I26" s="442" t="s">
        <v>3080</v>
      </c>
    </row>
    <row r="27" spans="1:9" ht="28.5" customHeight="1">
      <c r="B27" s="454"/>
      <c r="C27" s="454"/>
      <c r="D27" s="441" t="str">
        <f t="shared" si="0"/>
        <v xml:space="preserve">Enthält Statistiken für Länder und Regionen, die für die Gewichtung herangezogen werden. </v>
      </c>
      <c r="E27" s="442" t="s">
        <v>781</v>
      </c>
      <c r="F27" s="442" t="s">
        <v>782</v>
      </c>
      <c r="G27" s="448" t="s">
        <v>783</v>
      </c>
      <c r="H27" s="442" t="s">
        <v>784</v>
      </c>
      <c r="I27" s="442" t="s">
        <v>3081</v>
      </c>
    </row>
    <row r="28" spans="1:9" ht="15.75" customHeight="1">
      <c r="B28" s="454"/>
      <c r="C28" s="454"/>
      <c r="D28" s="441" t="str">
        <f t="shared" si="0"/>
        <v>2. Fakten zum Unternehmen</v>
      </c>
      <c r="E28" s="442" t="s">
        <v>785</v>
      </c>
      <c r="F28" s="442" t="s">
        <v>786</v>
      </c>
      <c r="G28" s="448" t="s">
        <v>787</v>
      </c>
      <c r="H28" s="442" t="s">
        <v>788</v>
      </c>
      <c r="I28" s="442" t="s">
        <v>3082</v>
      </c>
    </row>
    <row r="29" spans="1:9" ht="15.75" customHeight="1">
      <c r="B29" s="454"/>
      <c r="C29" s="454"/>
      <c r="D29" s="441" t="str">
        <f t="shared" si="0"/>
        <v>3. Berechnung</v>
      </c>
      <c r="E29" s="442" t="s">
        <v>789</v>
      </c>
      <c r="F29" s="442" t="s">
        <v>790</v>
      </c>
      <c r="G29" s="448" t="s">
        <v>791</v>
      </c>
      <c r="H29" s="442" t="s">
        <v>792</v>
      </c>
      <c r="I29" s="442" t="s">
        <v>3083</v>
      </c>
    </row>
    <row r="30" spans="1:9" ht="15.75" customHeight="1">
      <c r="B30" s="454"/>
      <c r="C30" s="454"/>
      <c r="D30" s="441" t="str">
        <f t="shared" si="0"/>
        <v>4. GW-Matrix</v>
      </c>
      <c r="E30" s="442" t="s">
        <v>793</v>
      </c>
      <c r="F30" s="442" t="s">
        <v>794</v>
      </c>
      <c r="G30" s="448" t="s">
        <v>795</v>
      </c>
      <c r="H30" s="442" t="s">
        <v>796</v>
      </c>
      <c r="I30" s="442" t="s">
        <v>3084</v>
      </c>
    </row>
    <row r="31" spans="1:9" ht="15.75" customHeight="1">
      <c r="B31" s="454"/>
      <c r="C31" s="454"/>
      <c r="D31" s="441" t="str">
        <f t="shared" si="0"/>
        <v>5. Werte-Stern</v>
      </c>
      <c r="E31" s="442" t="s">
        <v>797</v>
      </c>
      <c r="F31" s="442" t="s">
        <v>798</v>
      </c>
      <c r="G31" s="448" t="s">
        <v>799</v>
      </c>
      <c r="H31" s="442" t="s">
        <v>800</v>
      </c>
      <c r="I31" s="442" t="s">
        <v>3085</v>
      </c>
    </row>
    <row r="32" spans="1:9" ht="15.75" customHeight="1">
      <c r="B32" s="454"/>
      <c r="C32" s="454"/>
      <c r="D32" s="441" t="str">
        <f t="shared" si="0"/>
        <v>6. Gruppen-Stern</v>
      </c>
      <c r="E32" s="442" t="s">
        <v>801</v>
      </c>
      <c r="F32" s="442" t="s">
        <v>802</v>
      </c>
      <c r="G32" s="448" t="s">
        <v>803</v>
      </c>
      <c r="H32" s="442" t="s">
        <v>804</v>
      </c>
      <c r="I32" s="442" t="s">
        <v>3086</v>
      </c>
    </row>
    <row r="33" spans="2:9" ht="15.75" customHeight="1">
      <c r="B33" s="454"/>
      <c r="C33" s="454"/>
      <c r="D33" s="441" t="str">
        <f t="shared" si="0"/>
        <v>7. Themen-Stern</v>
      </c>
      <c r="E33" s="442" t="s">
        <v>805</v>
      </c>
      <c r="F33" s="442" t="s">
        <v>806</v>
      </c>
      <c r="G33" s="448" t="s">
        <v>807</v>
      </c>
      <c r="H33" s="442" t="s">
        <v>808</v>
      </c>
      <c r="I33" s="442" t="s">
        <v>3087</v>
      </c>
    </row>
    <row r="34" spans="2:9" ht="15.75" customHeight="1">
      <c r="B34" s="454"/>
      <c r="C34" s="454"/>
      <c r="D34" s="441" t="str">
        <f t="shared" si="0"/>
        <v>8. Beschreibung Gewichtungsmodell</v>
      </c>
      <c r="E34" s="442" t="s">
        <v>809</v>
      </c>
      <c r="F34" s="442" t="s">
        <v>810</v>
      </c>
      <c r="G34" s="448" t="s">
        <v>811</v>
      </c>
      <c r="H34" s="442" t="s">
        <v>812</v>
      </c>
      <c r="I34" s="442" t="s">
        <v>3088</v>
      </c>
    </row>
    <row r="35" spans="2:9" ht="15.75" customHeight="1">
      <c r="B35" s="454"/>
      <c r="C35" s="454"/>
      <c r="D35" s="441" t="str">
        <f t="shared" si="0"/>
        <v>9. Gewichtung (ausgeblendet)</v>
      </c>
      <c r="E35" s="442" t="s">
        <v>813</v>
      </c>
      <c r="F35" s="442" t="s">
        <v>814</v>
      </c>
      <c r="G35" s="448" t="s">
        <v>815</v>
      </c>
      <c r="H35" s="442" t="s">
        <v>816</v>
      </c>
      <c r="I35" s="442" t="s">
        <v>3089</v>
      </c>
    </row>
    <row r="36" spans="2:9" ht="15.75" customHeight="1">
      <c r="B36" s="454"/>
      <c r="C36" s="454"/>
      <c r="D36" s="441" t="str">
        <f t="shared" si="0"/>
        <v>10. Branchen (ausgeblendet)</v>
      </c>
      <c r="E36" s="442" t="s">
        <v>817</v>
      </c>
      <c r="F36" s="442" t="s">
        <v>818</v>
      </c>
      <c r="G36" s="448" t="s">
        <v>819</v>
      </c>
      <c r="H36" s="442" t="s">
        <v>820</v>
      </c>
      <c r="I36" s="442" t="s">
        <v>3090</v>
      </c>
    </row>
    <row r="37" spans="2:9" ht="15.75" customHeight="1">
      <c r="B37" s="454"/>
      <c r="C37" s="454"/>
      <c r="D37" s="441" t="str">
        <f t="shared" si="0"/>
        <v>11. Länder und Regionen (ausgeblendet)</v>
      </c>
      <c r="E37" s="442" t="s">
        <v>821</v>
      </c>
      <c r="F37" s="442" t="s">
        <v>822</v>
      </c>
      <c r="G37" s="448" t="s">
        <v>823</v>
      </c>
      <c r="H37" s="442" t="s">
        <v>824</v>
      </c>
      <c r="I37" s="442" t="s">
        <v>3091</v>
      </c>
    </row>
    <row r="38" spans="2:9" ht="15.75" customHeight="1">
      <c r="B38" s="454"/>
      <c r="C38" s="454"/>
      <c r="D38" s="441"/>
      <c r="E38" s="442"/>
      <c r="G38" s="448"/>
      <c r="H38" s="442"/>
      <c r="I38" s="442">
        <v>0</v>
      </c>
    </row>
    <row r="39" spans="2:9" ht="15.75" customHeight="1">
      <c r="B39" s="454"/>
      <c r="C39" s="454"/>
      <c r="D39" s="441">
        <f t="shared" ref="D39:D102" si="2">HLOOKUP($C$1,$E$1:$V$4910,ROW(D39))</f>
        <v>0</v>
      </c>
      <c r="E39" s="442"/>
      <c r="G39" s="448"/>
      <c r="H39" s="442"/>
      <c r="I39" s="442">
        <v>0</v>
      </c>
    </row>
    <row r="40" spans="2:9" ht="15.75" customHeight="1">
      <c r="B40" s="454"/>
      <c r="C40" s="454"/>
      <c r="D40" s="441" t="str">
        <f t="shared" si="2"/>
        <v>LEGENDE</v>
      </c>
      <c r="E40" s="442" t="s">
        <v>825</v>
      </c>
      <c r="F40" s="442" t="s">
        <v>826</v>
      </c>
      <c r="G40" s="448" t="s">
        <v>827</v>
      </c>
      <c r="H40" s="442" t="s">
        <v>828</v>
      </c>
      <c r="I40" s="442" t="s">
        <v>825</v>
      </c>
    </row>
    <row r="41" spans="2:9" ht="28.5" customHeight="1">
      <c r="B41" s="454"/>
      <c r="C41" s="454"/>
      <c r="D41" s="441" t="str">
        <f t="shared" si="2"/>
        <v>Feld ist beschreibbar (grüner Rahmen, dunkelgrüne Schrift)</v>
      </c>
      <c r="E41" s="442" t="s">
        <v>829</v>
      </c>
      <c r="F41" s="442" t="s">
        <v>830</v>
      </c>
      <c r="G41" s="448" t="s">
        <v>831</v>
      </c>
      <c r="H41" s="442" t="s">
        <v>832</v>
      </c>
      <c r="I41" s="442" t="s">
        <v>3092</v>
      </c>
    </row>
    <row r="42" spans="2:9" ht="28.5" customHeight="1">
      <c r="B42" s="454"/>
      <c r="C42" s="454"/>
      <c r="D42" s="441" t="str">
        <f t="shared" si="2"/>
        <v>Feld ist nicht beschreibbar (grauer Rahmen, dunkelgraue Schrift)</v>
      </c>
      <c r="E42" s="442" t="s">
        <v>833</v>
      </c>
      <c r="F42" s="442" t="s">
        <v>834</v>
      </c>
      <c r="G42" s="448" t="s">
        <v>835</v>
      </c>
      <c r="H42" s="442" t="s">
        <v>836</v>
      </c>
      <c r="I42" s="442" t="s">
        <v>3093</v>
      </c>
    </row>
    <row r="43" spans="2:9" ht="26.85" customHeight="1">
      <c r="B43" s="454"/>
      <c r="C43" s="454"/>
      <c r="D43" s="441" t="str">
        <f t="shared" si="2"/>
        <v>unerlaubter Wert eingegeben (zur korrekten Berechnung Wert ändern)</v>
      </c>
      <c r="E43" s="442" t="s">
        <v>837</v>
      </c>
      <c r="F43" s="442" t="s">
        <v>838</v>
      </c>
      <c r="G43" s="448" t="s">
        <v>839</v>
      </c>
      <c r="H43" s="442" t="s">
        <v>840</v>
      </c>
      <c r="I43" s="442" t="s">
        <v>3094</v>
      </c>
    </row>
    <row r="44" spans="2:9" ht="26.85" customHeight="1">
      <c r="B44" s="454"/>
      <c r="C44" s="454"/>
      <c r="D44" s="441" t="str">
        <f t="shared" si="2"/>
        <v>fehlerhafte Eingabe</v>
      </c>
      <c r="E44" s="457" t="s">
        <v>3039</v>
      </c>
      <c r="F44" s="457" t="s">
        <v>3039</v>
      </c>
      <c r="G44" s="458" t="s">
        <v>3040</v>
      </c>
      <c r="H44" s="457" t="s">
        <v>3041</v>
      </c>
      <c r="I44" s="442" t="s">
        <v>3095</v>
      </c>
    </row>
    <row r="45" spans="2:9" ht="44.1" customHeight="1">
      <c r="B45" s="454"/>
      <c r="C45" s="454"/>
      <c r="D45" s="441" t="str">
        <f t="shared" si="2"/>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c r="E45" s="442" t="s">
        <v>3055</v>
      </c>
      <c r="F45" s="442" t="s">
        <v>3057</v>
      </c>
      <c r="G45" s="448" t="s">
        <v>3060</v>
      </c>
      <c r="H45" s="442" t="s">
        <v>3064</v>
      </c>
      <c r="I45" s="442">
        <v>0</v>
      </c>
    </row>
    <row r="46" spans="2:9" ht="26.85" customHeight="1">
      <c r="B46" s="454"/>
      <c r="C46" s="454"/>
      <c r="D46" s="441" t="str">
        <f t="shared" si="2"/>
        <v>Bitte beachten Sie, dass die Zahlenformate in der Matrix gerundet
dargestellt werden</v>
      </c>
      <c r="E46" s="442" t="s">
        <v>3056</v>
      </c>
      <c r="F46" s="442" t="s">
        <v>3058</v>
      </c>
      <c r="G46" s="448" t="s">
        <v>3059</v>
      </c>
      <c r="H46" s="442" t="s">
        <v>3061</v>
      </c>
      <c r="I46" s="442">
        <v>0</v>
      </c>
    </row>
    <row r="47" spans="2:9" ht="38.25" customHeight="1">
      <c r="B47" s="454"/>
      <c r="C47" s="454"/>
      <c r="D47" s="441">
        <f t="shared" si="2"/>
        <v>0</v>
      </c>
      <c r="E47" s="442"/>
      <c r="G47" s="448"/>
      <c r="H47" s="442"/>
      <c r="I47" s="442">
        <v>0</v>
      </c>
    </row>
    <row r="48" spans="2:9" ht="26.85" customHeight="1">
      <c r="B48" s="454"/>
      <c r="C48" s="454"/>
      <c r="D48" s="441">
        <f t="shared" si="2"/>
        <v>0</v>
      </c>
      <c r="E48" s="442"/>
      <c r="G48" s="448"/>
      <c r="H48" s="442"/>
      <c r="I48" s="442">
        <v>0</v>
      </c>
    </row>
    <row r="49" spans="2:9" ht="26.85" customHeight="1">
      <c r="B49" s="454"/>
      <c r="C49" s="454"/>
      <c r="D49" s="441">
        <f t="shared" si="2"/>
        <v>0</v>
      </c>
      <c r="E49" s="442"/>
      <c r="G49" s="448"/>
      <c r="H49" s="442"/>
      <c r="I49" s="442">
        <v>0</v>
      </c>
    </row>
    <row r="50" spans="2:9" ht="26.85" customHeight="1">
      <c r="B50" s="454"/>
      <c r="C50" s="454"/>
      <c r="D50" s="441">
        <f t="shared" si="2"/>
        <v>0</v>
      </c>
      <c r="E50" s="442"/>
      <c r="G50" s="448"/>
      <c r="H50" s="442"/>
      <c r="I50" s="442">
        <v>0</v>
      </c>
    </row>
    <row r="51" spans="2:9" ht="26.85" customHeight="1">
      <c r="B51" s="454"/>
      <c r="C51" s="454"/>
      <c r="D51" s="441">
        <f t="shared" si="2"/>
        <v>0</v>
      </c>
      <c r="E51" s="442"/>
      <c r="G51" s="448"/>
      <c r="H51" s="442"/>
      <c r="I51" s="442">
        <v>0</v>
      </c>
    </row>
    <row r="52" spans="2:9" ht="26.85" customHeight="1">
      <c r="B52" s="454"/>
      <c r="C52" s="454"/>
      <c r="D52" s="441" t="str">
        <f t="shared" si="2"/>
        <v>ja</v>
      </c>
      <c r="E52" s="442" t="s">
        <v>841</v>
      </c>
      <c r="F52" s="442" t="s">
        <v>842</v>
      </c>
      <c r="G52" s="448" t="s">
        <v>843</v>
      </c>
      <c r="H52" s="442" t="s">
        <v>844</v>
      </c>
      <c r="I52" s="442" t="s">
        <v>3096</v>
      </c>
    </row>
    <row r="53" spans="2:9" ht="26.85" customHeight="1">
      <c r="B53" s="454"/>
      <c r="C53" s="454"/>
      <c r="D53" s="441" t="str">
        <f t="shared" si="2"/>
        <v>nein</v>
      </c>
      <c r="E53" s="442" t="s">
        <v>845</v>
      </c>
      <c r="F53" s="442" t="s">
        <v>846</v>
      </c>
      <c r="G53" s="448" t="s">
        <v>846</v>
      </c>
      <c r="H53" s="442" t="s">
        <v>847</v>
      </c>
      <c r="I53" s="442" t="s">
        <v>3097</v>
      </c>
    </row>
    <row r="54" spans="2:9" ht="15.75" customHeight="1">
      <c r="D54" s="441" t="str">
        <f t="shared" si="2"/>
        <v>KONTAKT</v>
      </c>
      <c r="E54" s="442" t="s">
        <v>848</v>
      </c>
      <c r="F54" s="442" t="s">
        <v>849</v>
      </c>
      <c r="G54" s="448" t="s">
        <v>850</v>
      </c>
      <c r="H54" s="442" t="s">
        <v>851</v>
      </c>
      <c r="I54" s="442" t="s">
        <v>850</v>
      </c>
    </row>
    <row r="55" spans="2:9" ht="41.85" customHeight="1">
      <c r="D55" s="441" t="str">
        <f t="shared" si="2"/>
        <v>Fragen zur Bilanz-Erstellung: beratung@gemeinwohl-oekonomie.org (GWÖ-BeraterInnen);</v>
      </c>
      <c r="E55" s="442" t="s">
        <v>852</v>
      </c>
      <c r="F55" s="442" t="s">
        <v>853</v>
      </c>
      <c r="G55" s="448" t="s">
        <v>854</v>
      </c>
      <c r="H55" s="442" t="s">
        <v>855</v>
      </c>
      <c r="I55" s="442" t="s">
        <v>3098</v>
      </c>
    </row>
    <row r="56" spans="2:9" ht="28.5" customHeight="1">
      <c r="D56" s="441" t="str">
        <f t="shared" si="2"/>
        <v>Fragen zur Auditierung: audit@gemeinwohl-oekonomie.org (GWÖ-AuditorInnen);</v>
      </c>
      <c r="E56" s="442" t="s">
        <v>856</v>
      </c>
      <c r="F56" s="459" t="s">
        <v>857</v>
      </c>
      <c r="G56" s="448" t="s">
        <v>858</v>
      </c>
      <c r="H56" s="442" t="s">
        <v>859</v>
      </c>
      <c r="I56" s="442" t="s">
        <v>3099</v>
      </c>
    </row>
    <row r="57" spans="2:9" ht="41.85" customHeight="1">
      <c r="D57" s="441" t="str">
        <f t="shared" si="2"/>
        <v>Weiterentwicklung der Matrix: bilanz@ecogood.org (GWÖ-Matrix Entwicklungsteam);</v>
      </c>
      <c r="E57" s="442" t="s">
        <v>860</v>
      </c>
      <c r="F57" s="442" t="str">
        <f>"[it]"&amp;E57</f>
        <v>[it]Weiterentwicklung der Matrix: bilanz@ecogood.org (GWÖ-Matrix Entwicklungsteam);</v>
      </c>
      <c r="G57" s="448" t="s">
        <v>861</v>
      </c>
      <c r="H57" s="442" t="s">
        <v>862</v>
      </c>
      <c r="I57" s="442" t="s">
        <v>3100</v>
      </c>
    </row>
    <row r="58" spans="2:9" ht="79.349999999999994" customHeight="1">
      <c r="D58" s="441" t="str">
        <f t="shared" si="2"/>
        <v>Excel-Programmierung: Christian Loy (christian.loy@gmx.at); Christian Kozina; Multilanguage-tool: Bernhard Oberrauch</v>
      </c>
      <c r="E58" s="460" t="s">
        <v>863</v>
      </c>
      <c r="F58" s="442" t="s">
        <v>864</v>
      </c>
      <c r="G58" s="448" t="s">
        <v>865</v>
      </c>
      <c r="H58" s="442" t="s">
        <v>866</v>
      </c>
      <c r="I58" s="442" t="s">
        <v>3101</v>
      </c>
    </row>
    <row r="59" spans="2:9" ht="15.75" customHeight="1">
      <c r="D59" s="441" t="str">
        <f t="shared" si="2"/>
        <v>Inhalte: GWÖ-Matrix Entwicklungsteam</v>
      </c>
      <c r="E59" s="442" t="s">
        <v>867</v>
      </c>
      <c r="F59" s="442" t="str">
        <f>"[it]"&amp;E59</f>
        <v>[it]Inhalte: GWÖ-Matrix Entwicklungsteam</v>
      </c>
      <c r="G59" s="448" t="s">
        <v>868</v>
      </c>
      <c r="H59" s="442" t="s">
        <v>869</v>
      </c>
      <c r="I59" s="442" t="s">
        <v>3349</v>
      </c>
    </row>
    <row r="60" spans="2:9" ht="15.75" customHeight="1">
      <c r="D60" s="441" t="str">
        <f t="shared" si="2"/>
        <v>ANMERKUNGEN</v>
      </c>
      <c r="E60" s="442" t="s">
        <v>870</v>
      </c>
      <c r="F60" s="442" t="s">
        <v>871</v>
      </c>
      <c r="G60" s="448" t="s">
        <v>872</v>
      </c>
      <c r="H60" s="442" t="s">
        <v>873</v>
      </c>
      <c r="I60" s="442" t="s">
        <v>872</v>
      </c>
    </row>
    <row r="61" spans="2:9" ht="68.25" customHeight="1">
      <c r="D61" s="441" t="str">
        <f t="shared" si="2"/>
        <v>Alle Tabellen sind optimiert für den Ausdruck auf A4 (Hoch- oder Querformat).
Die Höhe der Zeilen ist veränderbar, falls Sie mehr Text eingeben wollen.</v>
      </c>
      <c r="E61" s="442" t="s">
        <v>874</v>
      </c>
      <c r="F61" s="442" t="s">
        <v>875</v>
      </c>
      <c r="G61" s="448" t="s">
        <v>3052</v>
      </c>
      <c r="H61" s="442" t="s">
        <v>3053</v>
      </c>
      <c r="I61" s="442" t="s">
        <v>3102</v>
      </c>
    </row>
    <row r="62" spans="2:9" ht="15.75" customHeight="1">
      <c r="D62" s="441" t="str">
        <f t="shared" si="2"/>
        <v>ALLGEMEINE ANGABEN ZUM UNTERNEHMEN</v>
      </c>
      <c r="E62" s="442" t="s">
        <v>876</v>
      </c>
      <c r="F62" s="442" t="s">
        <v>877</v>
      </c>
      <c r="G62" s="448" t="s">
        <v>878</v>
      </c>
      <c r="H62" s="442" t="s">
        <v>879</v>
      </c>
      <c r="I62" s="442" t="s">
        <v>3103</v>
      </c>
    </row>
    <row r="63" spans="2:9" ht="15.75" customHeight="1">
      <c r="D63" s="441" t="str">
        <f t="shared" si="2"/>
        <v>Bitte vollständig ausfüllen!</v>
      </c>
      <c r="E63" s="442" t="s">
        <v>880</v>
      </c>
      <c r="F63" s="442" t="s">
        <v>881</v>
      </c>
      <c r="G63" s="448" t="s">
        <v>882</v>
      </c>
      <c r="H63" s="442" t="s">
        <v>883</v>
      </c>
      <c r="I63" s="442" t="s">
        <v>3104</v>
      </c>
    </row>
    <row r="64" spans="2:9" ht="15.75" customHeight="1">
      <c r="D64" s="441" t="str">
        <f t="shared" si="2"/>
        <v>Name des Unternehmens:</v>
      </c>
      <c r="E64" s="442" t="s">
        <v>884</v>
      </c>
      <c r="F64" s="442" t="s">
        <v>885</v>
      </c>
      <c r="G64" s="448" t="s">
        <v>886</v>
      </c>
      <c r="H64" s="442" t="s">
        <v>887</v>
      </c>
      <c r="I64" s="442" t="s">
        <v>3105</v>
      </c>
    </row>
    <row r="65" spans="4:9" ht="15.75" customHeight="1">
      <c r="D65" s="441" t="str">
        <f t="shared" si="2"/>
        <v>Anschrift:</v>
      </c>
      <c r="E65" s="442" t="s">
        <v>888</v>
      </c>
      <c r="F65" s="442" t="s">
        <v>889</v>
      </c>
      <c r="G65" s="448" t="s">
        <v>890</v>
      </c>
      <c r="H65" s="442" t="s">
        <v>891</v>
      </c>
      <c r="I65" s="442" t="s">
        <v>3106</v>
      </c>
    </row>
    <row r="66" spans="4:9" ht="15.75" customHeight="1">
      <c r="D66" s="441" t="str">
        <f t="shared" si="2"/>
        <v>Staat:</v>
      </c>
      <c r="E66" s="442" t="s">
        <v>892</v>
      </c>
      <c r="F66" s="442" t="s">
        <v>893</v>
      </c>
      <c r="G66" s="448" t="s">
        <v>894</v>
      </c>
      <c r="H66" s="442" t="s">
        <v>895</v>
      </c>
      <c r="I66" s="442" t="s">
        <v>3107</v>
      </c>
    </row>
    <row r="67" spans="4:9" ht="15.75" customHeight="1">
      <c r="D67" s="441" t="str">
        <f t="shared" si="2"/>
        <v>Branche:</v>
      </c>
      <c r="E67" s="442" t="s">
        <v>896</v>
      </c>
      <c r="F67" s="442" t="s">
        <v>897</v>
      </c>
      <c r="G67" s="448" t="s">
        <v>898</v>
      </c>
      <c r="H67" s="442" t="s">
        <v>899</v>
      </c>
      <c r="I67" s="442" t="s">
        <v>3108</v>
      </c>
    </row>
    <row r="68" spans="4:9" ht="15.75" customHeight="1">
      <c r="D68" s="441" t="str">
        <f t="shared" si="2"/>
        <v>Website:</v>
      </c>
      <c r="E68" s="442" t="s">
        <v>900</v>
      </c>
      <c r="F68" s="442" t="s">
        <v>901</v>
      </c>
      <c r="G68" s="448" t="s">
        <v>900</v>
      </c>
      <c r="H68" s="442" t="s">
        <v>902</v>
      </c>
      <c r="I68" s="442" t="s">
        <v>3109</v>
      </c>
    </row>
    <row r="69" spans="4:9" ht="15.75" customHeight="1">
      <c r="D69" s="441" t="str">
        <f t="shared" si="2"/>
        <v>Anzahl der MitarbeiterInnen:</v>
      </c>
      <c r="E69" s="442" t="s">
        <v>903</v>
      </c>
      <c r="F69" s="442" t="s">
        <v>904</v>
      </c>
      <c r="G69" s="448" t="s">
        <v>905</v>
      </c>
      <c r="H69" s="442" t="s">
        <v>906</v>
      </c>
      <c r="I69" s="442" t="s">
        <v>3110</v>
      </c>
    </row>
    <row r="70" spans="4:9" ht="15.75" customHeight="1">
      <c r="D70" s="441" t="str">
        <f t="shared" si="2"/>
        <v>Ein-Personen-Unternehmen:</v>
      </c>
      <c r="E70" s="442" t="s">
        <v>907</v>
      </c>
      <c r="F70" s="442" t="s">
        <v>908</v>
      </c>
      <c r="G70" s="448" t="s">
        <v>909</v>
      </c>
      <c r="H70" s="442" t="s">
        <v>910</v>
      </c>
      <c r="I70" s="442" t="s">
        <v>3111</v>
      </c>
    </row>
    <row r="71" spans="4:9" ht="41.85" customHeight="1">
      <c r="D71" s="441" t="str">
        <f t="shared" si="2"/>
        <v>(Hinweis: Wenn ja, werden die für EPUs gültigen Werte automatisch in die Berechnung übernommen.)</v>
      </c>
      <c r="E71" s="442" t="s">
        <v>911</v>
      </c>
      <c r="F71" s="442" t="s">
        <v>912</v>
      </c>
      <c r="G71" s="448" t="s">
        <v>913</v>
      </c>
      <c r="H71" s="442" t="s">
        <v>914</v>
      </c>
      <c r="I71" s="442" t="s">
        <v>3112</v>
      </c>
    </row>
    <row r="72" spans="4:9" ht="15.75" customHeight="1">
      <c r="D72" s="441" t="str">
        <f t="shared" si="2"/>
        <v>Bilanzjahr:</v>
      </c>
      <c r="E72" s="442" t="s">
        <v>915</v>
      </c>
      <c r="F72" s="442" t="s">
        <v>916</v>
      </c>
      <c r="G72" s="448" t="s">
        <v>917</v>
      </c>
      <c r="H72" s="442" t="s">
        <v>918</v>
      </c>
      <c r="I72" s="442" t="s">
        <v>3113</v>
      </c>
    </row>
    <row r="73" spans="4:9" ht="15.75" customHeight="1">
      <c r="D73" s="441" t="str">
        <f t="shared" si="2"/>
        <v>ErstellerIn:</v>
      </c>
      <c r="E73" s="442" t="s">
        <v>919</v>
      </c>
      <c r="F73" s="442" t="s">
        <v>920</v>
      </c>
      <c r="G73" s="448" t="s">
        <v>921</v>
      </c>
      <c r="H73" s="442" t="s">
        <v>922</v>
      </c>
      <c r="I73" s="442" t="s">
        <v>3114</v>
      </c>
    </row>
    <row r="74" spans="4:9" ht="15.75" customHeight="1">
      <c r="D74" s="441" t="str">
        <f t="shared" si="2"/>
        <v>E-Mail-Adresse:</v>
      </c>
      <c r="E74" s="442" t="s">
        <v>923</v>
      </c>
      <c r="F74" s="442" t="s">
        <v>924</v>
      </c>
      <c r="G74" s="448" t="s">
        <v>925</v>
      </c>
      <c r="H74" s="442" t="s">
        <v>926</v>
      </c>
      <c r="I74" s="442" t="s">
        <v>3115</v>
      </c>
    </row>
    <row r="75" spans="4:9" ht="15.75" customHeight="1">
      <c r="D75" s="441" t="str">
        <f t="shared" si="2"/>
        <v>Telefonnummer:</v>
      </c>
      <c r="E75" s="442" t="s">
        <v>927</v>
      </c>
      <c r="F75" s="442" t="s">
        <v>928</v>
      </c>
      <c r="G75" s="448" t="s">
        <v>929</v>
      </c>
      <c r="H75" s="442" t="s">
        <v>930</v>
      </c>
      <c r="I75" s="442" t="s">
        <v>3116</v>
      </c>
    </row>
    <row r="76" spans="4:9" ht="15.75" customHeight="1">
      <c r="D76" s="441" t="str">
        <f t="shared" si="2"/>
        <v>BeraterIn:</v>
      </c>
      <c r="E76" s="442" t="s">
        <v>931</v>
      </c>
      <c r="F76" s="442" t="s">
        <v>932</v>
      </c>
      <c r="G76" s="448" t="s">
        <v>933</v>
      </c>
      <c r="H76" s="442" t="s">
        <v>934</v>
      </c>
      <c r="I76" s="442" t="s">
        <v>3117</v>
      </c>
    </row>
    <row r="77" spans="4:9" ht="15.75" customHeight="1">
      <c r="D77" s="441" t="str">
        <f t="shared" si="2"/>
        <v>E-Mail-Adresse:</v>
      </c>
      <c r="E77" s="442" t="s">
        <v>923</v>
      </c>
      <c r="F77" s="442" t="s">
        <v>924</v>
      </c>
      <c r="G77" s="448" t="s">
        <v>935</v>
      </c>
      <c r="H77" s="442" t="s">
        <v>926</v>
      </c>
      <c r="I77" s="442" t="s">
        <v>3115</v>
      </c>
    </row>
    <row r="78" spans="4:9" ht="15.75" customHeight="1">
      <c r="D78" s="441" t="str">
        <f t="shared" si="2"/>
        <v>Telefonnummer:</v>
      </c>
      <c r="E78" s="442" t="s">
        <v>927</v>
      </c>
      <c r="F78" s="442" t="s">
        <v>928</v>
      </c>
      <c r="G78" s="448" t="s">
        <v>936</v>
      </c>
      <c r="H78" s="442" t="s">
        <v>930</v>
      </c>
      <c r="I78" s="442" t="s">
        <v>3116</v>
      </c>
    </row>
    <row r="79" spans="4:9" ht="28.5" customHeight="1">
      <c r="D79" s="441" t="str">
        <f t="shared" si="2"/>
        <v>Kurzbeschreibung
des Unternehmens:</v>
      </c>
      <c r="E79" s="442" t="s">
        <v>937</v>
      </c>
      <c r="F79" s="442" t="s">
        <v>938</v>
      </c>
      <c r="G79" s="448" t="s">
        <v>939</v>
      </c>
      <c r="H79" s="442" t="s">
        <v>940</v>
      </c>
      <c r="I79" s="442" t="s">
        <v>3118</v>
      </c>
    </row>
    <row r="80" spans="4:9" ht="15.75" customHeight="1">
      <c r="D80" s="441" t="str">
        <f t="shared" si="2"/>
        <v>Sonstige Anmerkungen:</v>
      </c>
      <c r="E80" s="442" t="s">
        <v>941</v>
      </c>
      <c r="F80" s="442" t="s">
        <v>942</v>
      </c>
      <c r="G80" s="448" t="s">
        <v>943</v>
      </c>
      <c r="H80" s="442" t="s">
        <v>944</v>
      </c>
      <c r="I80" s="442" t="s">
        <v>3119</v>
      </c>
    </row>
    <row r="81" spans="4:9" ht="15.75" customHeight="1">
      <c r="D81" s="441" t="str">
        <f t="shared" si="2"/>
        <v>BERECHNUNG DER EINZELNEN THEMEN</v>
      </c>
      <c r="E81" s="447" t="s">
        <v>945</v>
      </c>
      <c r="F81" s="442" t="s">
        <v>946</v>
      </c>
      <c r="G81" s="448" t="s">
        <v>947</v>
      </c>
      <c r="H81" s="442" t="s">
        <v>948</v>
      </c>
      <c r="I81" s="442" t="s">
        <v>3120</v>
      </c>
    </row>
    <row r="82" spans="4:9" ht="15.75" customHeight="1">
      <c r="D82" s="441" t="str">
        <f t="shared" si="2"/>
        <v>Unternehmen</v>
      </c>
      <c r="E82" s="442" t="s">
        <v>949</v>
      </c>
      <c r="F82" s="442" t="s">
        <v>950</v>
      </c>
      <c r="G82" s="448" t="s">
        <v>951</v>
      </c>
      <c r="H82" s="442" t="s">
        <v>952</v>
      </c>
      <c r="I82" s="442" t="s">
        <v>3121</v>
      </c>
    </row>
    <row r="83" spans="4:9" ht="15.75" customHeight="1">
      <c r="D83" s="441" t="str">
        <f t="shared" si="2"/>
        <v>Bilanz-Jahr</v>
      </c>
      <c r="E83" s="442" t="s">
        <v>953</v>
      </c>
      <c r="F83" s="442" t="s">
        <v>954</v>
      </c>
      <c r="G83" s="448" t="s">
        <v>955</v>
      </c>
      <c r="H83" s="442" t="s">
        <v>918</v>
      </c>
      <c r="I83" s="442" t="s">
        <v>3122</v>
      </c>
    </row>
    <row r="84" spans="4:9" ht="15.75" customHeight="1">
      <c r="D84" s="441">
        <f t="shared" si="2"/>
        <v>0</v>
      </c>
      <c r="E84" s="442"/>
      <c r="G84" s="448"/>
      <c r="H84" s="442"/>
      <c r="I84" s="442">
        <v>0</v>
      </c>
    </row>
    <row r="85" spans="4:9" ht="15.75" customHeight="1">
      <c r="D85" s="441">
        <f t="shared" si="2"/>
        <v>0</v>
      </c>
      <c r="E85" s="442"/>
      <c r="G85" s="448"/>
      <c r="H85" s="442"/>
      <c r="I85" s="442">
        <v>0</v>
      </c>
    </row>
    <row r="86" spans="4:9" ht="15.75" customHeight="1">
      <c r="D86" s="441">
        <f t="shared" si="2"/>
        <v>0</v>
      </c>
      <c r="E86" s="442"/>
      <c r="G86" s="448"/>
      <c r="H86" s="442"/>
      <c r="I86" s="442">
        <v>0</v>
      </c>
    </row>
    <row r="87" spans="4:9" ht="15.75" customHeight="1">
      <c r="D87" s="441">
        <f t="shared" si="2"/>
        <v>0</v>
      </c>
      <c r="E87" s="442"/>
      <c r="G87" s="448"/>
      <c r="H87" s="442"/>
      <c r="I87" s="442">
        <v>0</v>
      </c>
    </row>
    <row r="88" spans="4:9" ht="15.75" customHeight="1">
      <c r="D88" s="441">
        <f t="shared" si="2"/>
        <v>0</v>
      </c>
      <c r="E88" s="442"/>
      <c r="G88" s="448"/>
      <c r="H88" s="442"/>
      <c r="I88" s="442">
        <v>0</v>
      </c>
    </row>
    <row r="89" spans="4:9" ht="15.75" customHeight="1">
      <c r="D89" s="441">
        <f t="shared" si="2"/>
        <v>0</v>
      </c>
      <c r="E89" s="442"/>
      <c r="G89" s="448"/>
      <c r="H89" s="442"/>
      <c r="I89" s="442">
        <v>0</v>
      </c>
    </row>
    <row r="90" spans="4:9" ht="15.75" customHeight="1">
      <c r="D90" s="441" t="str">
        <f t="shared" si="2"/>
        <v>BERECHNUNG DER EINZELNEN ASPEKTE</v>
      </c>
      <c r="E90" s="442" t="s">
        <v>956</v>
      </c>
      <c r="F90" s="442" t="s">
        <v>957</v>
      </c>
      <c r="G90" s="448" t="s">
        <v>958</v>
      </c>
      <c r="H90" s="442" t="s">
        <v>959</v>
      </c>
      <c r="I90" s="442" t="s">
        <v>3123</v>
      </c>
    </row>
    <row r="91" spans="4:9" ht="15.75" customHeight="1">
      <c r="D91" s="441" t="str">
        <f t="shared" si="2"/>
        <v>Gemeinwohl-Bilanz-Rechner</v>
      </c>
      <c r="E91" s="442" t="s">
        <v>960</v>
      </c>
      <c r="F91" s="449" t="s">
        <v>961</v>
      </c>
      <c r="G91" s="448" t="s">
        <v>962</v>
      </c>
      <c r="H91" s="442" t="s">
        <v>963</v>
      </c>
      <c r="I91" s="442" t="s">
        <v>3350</v>
      </c>
    </row>
    <row r="92" spans="4:9" ht="15.75" customHeight="1">
      <c r="D92" s="441" t="str">
        <f t="shared" si="2"/>
        <v>BILANZSUMME:</v>
      </c>
      <c r="E92" s="442" t="s">
        <v>964</v>
      </c>
      <c r="F92" s="442" t="s">
        <v>965</v>
      </c>
      <c r="G92" s="448" t="s">
        <v>966</v>
      </c>
      <c r="H92" s="442" t="s">
        <v>967</v>
      </c>
      <c r="I92" s="442" t="s">
        <v>3124</v>
      </c>
    </row>
    <row r="93" spans="4:9" ht="15.75" customHeight="1">
      <c r="D93" s="441" t="str">
        <f t="shared" si="2"/>
        <v>Nr.</v>
      </c>
      <c r="E93" s="442" t="s">
        <v>968</v>
      </c>
      <c r="F93" s="442" t="s">
        <v>969</v>
      </c>
      <c r="G93" s="448" t="s">
        <v>970</v>
      </c>
      <c r="H93" s="442" t="s">
        <v>971</v>
      </c>
      <c r="I93" s="442" t="s">
        <v>969</v>
      </c>
    </row>
    <row r="94" spans="4:9" ht="15.75" customHeight="1">
      <c r="D94" s="441" t="str">
        <f t="shared" si="2"/>
        <v>Berührungsgruppe</v>
      </c>
      <c r="E94" s="442" t="s">
        <v>972</v>
      </c>
      <c r="F94" s="442" t="s">
        <v>973</v>
      </c>
      <c r="G94" s="448" t="s">
        <v>974</v>
      </c>
      <c r="H94" s="442" t="s">
        <v>975</v>
      </c>
      <c r="I94" s="442" t="s">
        <v>3125</v>
      </c>
    </row>
    <row r="95" spans="4:9" ht="15.75" customHeight="1">
      <c r="D95" s="441" t="str">
        <f t="shared" si="2"/>
        <v>Berührungsgruppe/Themen/Aspekte</v>
      </c>
      <c r="E95" s="447" t="s">
        <v>976</v>
      </c>
      <c r="F95" s="442" t="s">
        <v>977</v>
      </c>
      <c r="G95" s="448" t="s">
        <v>978</v>
      </c>
      <c r="H95" s="442" t="s">
        <v>979</v>
      </c>
      <c r="I95" s="442" t="s">
        <v>3126</v>
      </c>
    </row>
    <row r="96" spans="4:9" ht="15.75" customHeight="1">
      <c r="D96" s="441" t="str">
        <f t="shared" si="2"/>
        <v>Gewichtung</v>
      </c>
      <c r="E96" s="442" t="s">
        <v>980</v>
      </c>
      <c r="F96" s="442" t="s">
        <v>981</v>
      </c>
      <c r="G96" s="448" t="s">
        <v>982</v>
      </c>
      <c r="H96" s="442" t="s">
        <v>983</v>
      </c>
      <c r="I96" s="442" t="s">
        <v>3127</v>
      </c>
    </row>
    <row r="97" spans="2:9" ht="15.75" customHeight="1">
      <c r="C97" s="461">
        <v>4</v>
      </c>
      <c r="D97" s="441" t="str">
        <f t="shared" si="2"/>
        <v>sehr hoch</v>
      </c>
      <c r="E97" s="442" t="s">
        <v>151</v>
      </c>
      <c r="F97" s="442" t="s">
        <v>984</v>
      </c>
      <c r="G97" s="448" t="s">
        <v>985</v>
      </c>
      <c r="H97" s="442" t="s">
        <v>986</v>
      </c>
      <c r="I97" s="442" t="s">
        <v>3128</v>
      </c>
    </row>
    <row r="98" spans="2:9" ht="15.75" customHeight="1">
      <c r="C98" s="461">
        <v>3</v>
      </c>
      <c r="D98" s="441" t="str">
        <f t="shared" si="2"/>
        <v>hoch</v>
      </c>
      <c r="E98" s="442" t="s">
        <v>150</v>
      </c>
      <c r="F98" s="442" t="s">
        <v>987</v>
      </c>
      <c r="G98" s="448" t="s">
        <v>988</v>
      </c>
      <c r="H98" s="442" t="s">
        <v>989</v>
      </c>
      <c r="I98" s="442" t="s">
        <v>3129</v>
      </c>
    </row>
    <row r="99" spans="2:9" ht="15.75" customHeight="1">
      <c r="C99" s="461">
        <v>2</v>
      </c>
      <c r="D99" s="441" t="str">
        <f t="shared" si="2"/>
        <v>mittel</v>
      </c>
      <c r="E99" s="442" t="s">
        <v>149</v>
      </c>
      <c r="F99" s="442" t="s">
        <v>990</v>
      </c>
      <c r="G99" s="448" t="s">
        <v>991</v>
      </c>
      <c r="H99" s="442" t="s">
        <v>992</v>
      </c>
      <c r="I99" s="442" t="s">
        <v>3130</v>
      </c>
    </row>
    <row r="100" spans="2:9" ht="15.75" customHeight="1">
      <c r="C100" s="461">
        <v>1</v>
      </c>
      <c r="D100" s="441" t="str">
        <f t="shared" si="2"/>
        <v>niedrig</v>
      </c>
      <c r="E100" s="442" t="s">
        <v>148</v>
      </c>
      <c r="F100" s="442" t="s">
        <v>993</v>
      </c>
      <c r="G100" s="448" t="s">
        <v>994</v>
      </c>
      <c r="H100" s="442" t="s">
        <v>995</v>
      </c>
      <c r="I100" s="442" t="s">
        <v>3131</v>
      </c>
    </row>
    <row r="101" spans="2:9" ht="15.75" customHeight="1">
      <c r="C101" s="461">
        <v>0</v>
      </c>
      <c r="D101" s="441" t="str">
        <f t="shared" si="2"/>
        <v>trifft nicht zu</v>
      </c>
      <c r="E101" s="442" t="s">
        <v>147</v>
      </c>
      <c r="F101" s="442" t="s">
        <v>996</v>
      </c>
      <c r="G101" s="448" t="s">
        <v>997</v>
      </c>
      <c r="H101" s="442" t="s">
        <v>998</v>
      </c>
      <c r="I101" s="442" t="s">
        <v>3132</v>
      </c>
    </row>
    <row r="102" spans="2:9" ht="15.75" customHeight="1">
      <c r="D102" s="441" t="str">
        <f t="shared" si="2"/>
        <v>Erläuterung</v>
      </c>
      <c r="E102" s="447" t="s">
        <v>999</v>
      </c>
      <c r="F102" s="442" t="s">
        <v>1000</v>
      </c>
      <c r="G102" s="448" t="s">
        <v>1001</v>
      </c>
      <c r="H102" s="442" t="s">
        <v>1002</v>
      </c>
      <c r="I102" s="442" t="s">
        <v>3133</v>
      </c>
    </row>
    <row r="103" spans="2:9" ht="15.75" customHeight="1">
      <c r="D103" s="441" t="str">
        <f t="shared" ref="D103:D166" si="3">HLOOKUP($C$1,$E$1:$V$4910,ROW(D103))</f>
        <v>Verbesserungspotenzial</v>
      </c>
      <c r="E103" s="442" t="s">
        <v>1003</v>
      </c>
      <c r="F103" s="442" t="s">
        <v>1004</v>
      </c>
      <c r="G103" s="448" t="s">
        <v>1005</v>
      </c>
      <c r="H103" s="442" t="s">
        <v>1006</v>
      </c>
      <c r="I103" s="442" t="s">
        <v>3134</v>
      </c>
    </row>
    <row r="104" spans="2:9" ht="15.75" customHeight="1">
      <c r="D104" s="441" t="str">
        <f t="shared" si="3"/>
        <v>Erfüll.</v>
      </c>
      <c r="E104" s="442" t="s">
        <v>1007</v>
      </c>
      <c r="F104" s="442" t="s">
        <v>1008</v>
      </c>
      <c r="G104" s="448" t="s">
        <v>1009</v>
      </c>
      <c r="H104" s="442" t="s">
        <v>1010</v>
      </c>
      <c r="I104" s="442" t="s">
        <v>3135</v>
      </c>
    </row>
    <row r="105" spans="2:9" ht="15.75" customHeight="1">
      <c r="D105" s="441" t="str">
        <f t="shared" si="3"/>
        <v>Pkte</v>
      </c>
      <c r="E105" s="442" t="s">
        <v>1011</v>
      </c>
      <c r="F105" s="442" t="s">
        <v>1012</v>
      </c>
      <c r="G105" s="448" t="s">
        <v>1013</v>
      </c>
      <c r="H105" s="442" t="s">
        <v>1014</v>
      </c>
      <c r="I105" s="442" t="s">
        <v>1013</v>
      </c>
    </row>
    <row r="106" spans="2:9" ht="15.75" customHeight="1">
      <c r="D106" s="441" t="str">
        <f t="shared" si="3"/>
        <v>Max.</v>
      </c>
      <c r="E106" s="442" t="s">
        <v>1015</v>
      </c>
      <c r="F106" s="442" t="s">
        <v>1015</v>
      </c>
      <c r="G106" s="448" t="s">
        <v>1015</v>
      </c>
      <c r="H106" s="442" t="s">
        <v>1015</v>
      </c>
      <c r="I106" s="442" t="s">
        <v>1015</v>
      </c>
    </row>
    <row r="107" spans="2:9" ht="15.75" customHeight="1">
      <c r="D107" s="441" t="str">
        <f t="shared" si="3"/>
        <v>Berührungsgruppe/Themen/Aspekte</v>
      </c>
      <c r="E107" s="442" t="s">
        <v>976</v>
      </c>
      <c r="F107" s="442" t="s">
        <v>1016</v>
      </c>
      <c r="G107" s="448" t="s">
        <v>1017</v>
      </c>
      <c r="H107" s="442" t="s">
        <v>979</v>
      </c>
      <c r="I107" s="442" t="s">
        <v>3136</v>
      </c>
    </row>
    <row r="108" spans="2:9" ht="15.75" customHeight="1">
      <c r="B108" s="462" t="str">
        <f>C108&amp;": "&amp;D108</f>
        <v>A: Lieferant*innen</v>
      </c>
      <c r="C108" s="463" t="s">
        <v>12</v>
      </c>
      <c r="D108" s="441" t="str">
        <f t="shared" si="3"/>
        <v>Lieferant*innen</v>
      </c>
      <c r="E108" s="464" t="s">
        <v>1018</v>
      </c>
      <c r="F108" s="465" t="s">
        <v>1019</v>
      </c>
      <c r="G108" s="448" t="s">
        <v>1020</v>
      </c>
      <c r="H108" s="442" t="s">
        <v>1021</v>
      </c>
      <c r="I108" s="442" t="s">
        <v>3137</v>
      </c>
    </row>
    <row r="109" spans="2:9" ht="28.5" customHeight="1">
      <c r="B109" s="439" t="str">
        <f>C109&amp;": "&amp;D109</f>
        <v>A1: Menschenwürde in der Zulieferkette</v>
      </c>
      <c r="C109" s="466" t="s">
        <v>13</v>
      </c>
      <c r="D109" s="441" t="str">
        <f t="shared" si="3"/>
        <v>Menschenwürde in der Zulieferkette</v>
      </c>
      <c r="E109" s="467" t="s">
        <v>1022</v>
      </c>
      <c r="F109" s="468" t="s">
        <v>1023</v>
      </c>
      <c r="G109" s="448" t="s">
        <v>1024</v>
      </c>
      <c r="H109" s="442" t="s">
        <v>1025</v>
      </c>
      <c r="I109" s="442" t="s">
        <v>3138</v>
      </c>
    </row>
    <row r="110" spans="2:9" ht="28.5" customHeight="1">
      <c r="C110" s="469" t="s">
        <v>14</v>
      </c>
      <c r="D110" s="441" t="str">
        <f t="shared" si="3"/>
        <v>Arbeitsbedingungen und gesellschaftliche Auswirkungen in der Zulieferkette</v>
      </c>
      <c r="E110" s="469" t="s">
        <v>1026</v>
      </c>
      <c r="F110" s="442" t="s">
        <v>1027</v>
      </c>
      <c r="G110" s="448" t="s">
        <v>1028</v>
      </c>
      <c r="H110" s="442" t="s">
        <v>1029</v>
      </c>
      <c r="I110" s="442" t="s">
        <v>3139</v>
      </c>
    </row>
    <row r="111" spans="2:9" ht="28.5" customHeight="1">
      <c r="C111" s="469" t="s">
        <v>15</v>
      </c>
      <c r="D111" s="441" t="str">
        <f t="shared" si="3"/>
        <v>Negativ-Aspekt: Verletzung der Menschenwürde in der Zulieferkette</v>
      </c>
      <c r="E111" s="469" t="s">
        <v>1030</v>
      </c>
      <c r="F111" s="448" t="s">
        <v>1031</v>
      </c>
      <c r="G111" s="448" t="s">
        <v>1032</v>
      </c>
      <c r="H111" s="442" t="s">
        <v>1033</v>
      </c>
      <c r="I111" s="442" t="s">
        <v>3140</v>
      </c>
    </row>
    <row r="112" spans="2:9" ht="28.5" customHeight="1">
      <c r="B112" s="439" t="str">
        <f>C112&amp;": "&amp;D112</f>
        <v>A2: Solidarität und Gerechtigkeit in der Zulieferkette</v>
      </c>
      <c r="C112" s="466" t="s">
        <v>16</v>
      </c>
      <c r="D112" s="441" t="str">
        <f t="shared" si="3"/>
        <v>Solidarität und Gerechtigkeit in der Zulieferkette</v>
      </c>
      <c r="E112" s="467" t="s">
        <v>1034</v>
      </c>
      <c r="F112" s="468" t="s">
        <v>1035</v>
      </c>
      <c r="G112" s="448" t="s">
        <v>1036</v>
      </c>
      <c r="H112" s="442" t="s">
        <v>1037</v>
      </c>
      <c r="I112" s="442" t="s">
        <v>3141</v>
      </c>
    </row>
    <row r="113" spans="2:10" ht="28.5" customHeight="1">
      <c r="C113" s="469" t="s">
        <v>17</v>
      </c>
      <c r="D113" s="441" t="str">
        <f t="shared" si="3"/>
        <v>Faire Geschäftsbeziehungen zu direkten Lieferant*innen</v>
      </c>
      <c r="E113" s="469" t="s">
        <v>1038</v>
      </c>
      <c r="F113" s="442" t="s">
        <v>1039</v>
      </c>
      <c r="G113" s="448" t="s">
        <v>1040</v>
      </c>
      <c r="H113" s="442" t="s">
        <v>1041</v>
      </c>
      <c r="I113" s="442" t="s">
        <v>3142</v>
      </c>
    </row>
    <row r="114" spans="2:10" ht="28.5" customHeight="1">
      <c r="C114" s="469" t="s">
        <v>18</v>
      </c>
      <c r="D114" s="441" t="str">
        <f t="shared" si="3"/>
        <v>Positive Einflussnahme auf Solidarität und Gerechtigkeit in der gesamten Zulieferkette</v>
      </c>
      <c r="E114" s="469" t="s">
        <v>1042</v>
      </c>
      <c r="F114" s="442" t="s">
        <v>1043</v>
      </c>
      <c r="G114" s="448" t="s">
        <v>1044</v>
      </c>
      <c r="H114" s="442" t="s">
        <v>1045</v>
      </c>
      <c r="I114" s="442" t="s">
        <v>3143</v>
      </c>
    </row>
    <row r="115" spans="2:10" ht="28.5" customHeight="1">
      <c r="C115" s="469" t="s">
        <v>19</v>
      </c>
      <c r="D115" s="441" t="str">
        <f t="shared" si="3"/>
        <v>Negativ-Aspekt: Ausnutzung der Marktmacht gegenüber Lieferant*innen</v>
      </c>
      <c r="E115" s="469" t="s">
        <v>1046</v>
      </c>
      <c r="F115" s="442" t="s">
        <v>1047</v>
      </c>
      <c r="G115" s="448" t="s">
        <v>1048</v>
      </c>
      <c r="H115" s="442" t="s">
        <v>1049</v>
      </c>
      <c r="I115" s="442" t="s">
        <v>3144</v>
      </c>
    </row>
    <row r="116" spans="2:10" ht="28.5" customHeight="1">
      <c r="B116" s="439" t="str">
        <f>C116&amp;": "&amp;D116</f>
        <v>A3: Ökologische Nachhaltigkeit in der Zulieferkette</v>
      </c>
      <c r="C116" s="466" t="s">
        <v>20</v>
      </c>
      <c r="D116" s="441" t="str">
        <f t="shared" si="3"/>
        <v>Ökologische Nachhaltigkeit in der Zulieferkette</v>
      </c>
      <c r="E116" s="467" t="s">
        <v>1050</v>
      </c>
      <c r="F116" s="468" t="s">
        <v>1051</v>
      </c>
      <c r="G116" s="448" t="s">
        <v>1052</v>
      </c>
      <c r="H116" s="442" t="s">
        <v>1053</v>
      </c>
      <c r="I116" s="442" t="s">
        <v>3145</v>
      </c>
    </row>
    <row r="117" spans="2:10" ht="28.5" customHeight="1">
      <c r="C117" s="469" t="s">
        <v>21</v>
      </c>
      <c r="D117" s="441" t="str">
        <f t="shared" si="3"/>
        <v>Umweltauswirkungen in der Zulieferkette</v>
      </c>
      <c r="E117" s="469" t="s">
        <v>1054</v>
      </c>
      <c r="F117" s="442" t="s">
        <v>1055</v>
      </c>
      <c r="G117" s="448" t="s">
        <v>1056</v>
      </c>
      <c r="H117" s="442" t="s">
        <v>1057</v>
      </c>
      <c r="I117" s="442" t="s">
        <v>3146</v>
      </c>
    </row>
    <row r="118" spans="2:10" ht="41.85" customHeight="1">
      <c r="C118" s="469" t="s">
        <v>22</v>
      </c>
      <c r="D118" s="441" t="str">
        <f t="shared" si="3"/>
        <v>Negativ-Aspekt:Unverhältnismäßig hohe Umweltauswirkungen in der Zulieferkette</v>
      </c>
      <c r="E118" s="469" t="s">
        <v>1058</v>
      </c>
      <c r="F118" s="442" t="s">
        <v>1059</v>
      </c>
      <c r="G118" s="448" t="s">
        <v>1060</v>
      </c>
      <c r="H118" s="442" t="s">
        <v>1061</v>
      </c>
      <c r="I118" s="442" t="s">
        <v>3147</v>
      </c>
    </row>
    <row r="119" spans="2:10" ht="41.85" customHeight="1">
      <c r="B119" s="439" t="str">
        <f>C119&amp;": "&amp;D119</f>
        <v>A4: Transparenz und Mitentscheidung in der Zulieferkette</v>
      </c>
      <c r="C119" s="466" t="s">
        <v>23</v>
      </c>
      <c r="D119" s="441" t="str">
        <f t="shared" si="3"/>
        <v>Transparenz und Mitentscheidung in der Zulieferkette</v>
      </c>
      <c r="E119" s="467" t="s">
        <v>1062</v>
      </c>
      <c r="F119" s="468" t="s">
        <v>1063</v>
      </c>
      <c r="G119" s="448" t="s">
        <v>1064</v>
      </c>
      <c r="H119" s="442" t="s">
        <v>1065</v>
      </c>
      <c r="I119" s="442" t="s">
        <v>3148</v>
      </c>
    </row>
    <row r="120" spans="2:10" ht="28.5" customHeight="1">
      <c r="C120" s="469" t="s">
        <v>24</v>
      </c>
      <c r="D120" s="441" t="str">
        <f t="shared" si="3"/>
        <v>Transparenz und Mitentscheidungsrechte für Lieferant*innen</v>
      </c>
      <c r="E120" s="469" t="s">
        <v>1066</v>
      </c>
      <c r="F120" s="442" t="s">
        <v>1067</v>
      </c>
      <c r="G120" s="448" t="s">
        <v>1068</v>
      </c>
      <c r="H120" s="442" t="s">
        <v>1069</v>
      </c>
      <c r="I120" s="442" t="s">
        <v>3149</v>
      </c>
    </row>
    <row r="121" spans="2:10" ht="38.85" customHeight="1">
      <c r="C121" s="469" t="s">
        <v>25</v>
      </c>
      <c r="D121" s="441" t="str">
        <f t="shared" si="3"/>
        <v>Positive Einflussnahme auf Transparenz und Mitentscheidung in der gesamten Zulieferkette</v>
      </c>
      <c r="E121" s="469" t="s">
        <v>1070</v>
      </c>
      <c r="F121" s="442" t="s">
        <v>1071</v>
      </c>
      <c r="G121" s="448" t="s">
        <v>1072</v>
      </c>
      <c r="H121" s="442" t="s">
        <v>1073</v>
      </c>
      <c r="I121" s="442" t="s">
        <v>3150</v>
      </c>
    </row>
    <row r="122" spans="2:10" ht="28.5" customHeight="1">
      <c r="B122" s="462" t="str">
        <f>C122&amp;": "&amp;D122</f>
        <v>B: Eigentümer*innen und Finanzpartner*innen</v>
      </c>
      <c r="C122" s="463" t="s">
        <v>26</v>
      </c>
      <c r="D122" s="441" t="str">
        <f t="shared" si="3"/>
        <v>Eigentümer*innen und Finanzpartner*innen</v>
      </c>
      <c r="E122" s="470" t="s">
        <v>1074</v>
      </c>
      <c r="F122" s="465" t="s">
        <v>1075</v>
      </c>
      <c r="G122" s="448" t="s">
        <v>1076</v>
      </c>
      <c r="H122" s="442" t="s">
        <v>1077</v>
      </c>
      <c r="I122" s="442" t="s">
        <v>3151</v>
      </c>
    </row>
    <row r="123" spans="2:10" ht="28.5" customHeight="1">
      <c r="B123" s="439" t="str">
        <f>C123&amp;": "&amp;D123</f>
        <v>B1: Ethische Haltung im Umgang mit Geldmitteln</v>
      </c>
      <c r="C123" s="466" t="s">
        <v>27</v>
      </c>
      <c r="D123" s="441" t="str">
        <f t="shared" si="3"/>
        <v>Ethische Haltung im Umgang mit Geldmitteln</v>
      </c>
      <c r="E123" s="467" t="s">
        <v>1078</v>
      </c>
      <c r="F123" s="468" t="s">
        <v>1079</v>
      </c>
      <c r="G123" s="448" t="s">
        <v>1080</v>
      </c>
      <c r="H123" s="442" t="s">
        <v>1081</v>
      </c>
      <c r="I123" s="442" t="s">
        <v>3152</v>
      </c>
      <c r="J123" s="461"/>
    </row>
    <row r="124" spans="2:10" ht="28.5" customHeight="1">
      <c r="C124" s="471" t="s">
        <v>28</v>
      </c>
      <c r="D124" s="441" t="str">
        <f t="shared" si="3"/>
        <v>Finanzielle Unabhängigkeit durch Eigenfinanzierung</v>
      </c>
      <c r="E124" s="469" t="s">
        <v>1082</v>
      </c>
      <c r="F124" s="442" t="s">
        <v>1083</v>
      </c>
      <c r="G124" s="448" t="s">
        <v>1084</v>
      </c>
      <c r="H124" s="442" t="s">
        <v>1085</v>
      </c>
      <c r="I124" s="442" t="s">
        <v>3153</v>
      </c>
      <c r="J124" s="461"/>
    </row>
    <row r="125" spans="2:10" ht="28.5" customHeight="1">
      <c r="C125" s="36" t="s">
        <v>29</v>
      </c>
      <c r="D125" s="441" t="str">
        <f t="shared" si="3"/>
        <v>Gemeinwohlorientierte Fremdfinanzierung</v>
      </c>
      <c r="E125" s="472" t="s">
        <v>1086</v>
      </c>
      <c r="F125" s="442" t="s">
        <v>1087</v>
      </c>
      <c r="G125" s="448" t="s">
        <v>1088</v>
      </c>
      <c r="H125" s="442" t="s">
        <v>1089</v>
      </c>
      <c r="I125" s="442" t="s">
        <v>3154</v>
      </c>
      <c r="J125" s="461"/>
    </row>
    <row r="126" spans="2:10" ht="28.5" customHeight="1">
      <c r="C126" s="36" t="s">
        <v>30</v>
      </c>
      <c r="D126" s="441" t="str">
        <f t="shared" si="3"/>
        <v>Ethische Haltung externer Finanzpartner*innen</v>
      </c>
      <c r="E126" s="472" t="s">
        <v>1090</v>
      </c>
      <c r="F126" s="442" t="s">
        <v>1091</v>
      </c>
      <c r="G126" s="448" t="s">
        <v>1092</v>
      </c>
      <c r="H126" s="442" t="s">
        <v>1093</v>
      </c>
      <c r="I126" s="442" t="s">
        <v>3155</v>
      </c>
      <c r="J126" s="461"/>
    </row>
    <row r="127" spans="2:10" ht="28.5" customHeight="1">
      <c r="B127" s="439" t="str">
        <f>C127&amp;": "&amp;D127</f>
        <v>B2: Soziale Haltung im Umgang mit Geldmitteln</v>
      </c>
      <c r="C127" s="466" t="s">
        <v>31</v>
      </c>
      <c r="D127" s="441" t="str">
        <f t="shared" si="3"/>
        <v>Soziale Haltung im Umgang mit Geldmitteln</v>
      </c>
      <c r="E127" s="467" t="s">
        <v>1094</v>
      </c>
      <c r="F127" s="468" t="s">
        <v>1095</v>
      </c>
      <c r="G127" s="448" t="s">
        <v>1096</v>
      </c>
      <c r="H127" s="442" t="s">
        <v>1097</v>
      </c>
      <c r="I127" s="442" t="s">
        <v>3156</v>
      </c>
      <c r="J127" s="461"/>
    </row>
    <row r="128" spans="2:10" ht="28.5" customHeight="1">
      <c r="C128" s="471" t="s">
        <v>32</v>
      </c>
      <c r="D128" s="441" t="str">
        <f t="shared" si="3"/>
        <v>Solidarische und gemeinwohlorientierte Mittelverwendung</v>
      </c>
      <c r="E128" s="469" t="s">
        <v>1098</v>
      </c>
      <c r="F128" s="442" t="s">
        <v>1099</v>
      </c>
      <c r="G128" s="448" t="s">
        <v>1100</v>
      </c>
      <c r="H128" s="442" t="s">
        <v>1101</v>
      </c>
      <c r="I128" s="442" t="s">
        <v>3157</v>
      </c>
      <c r="J128" s="461"/>
    </row>
    <row r="129" spans="2:10" ht="28.5" customHeight="1">
      <c r="C129" s="36" t="s">
        <v>33</v>
      </c>
      <c r="D129" s="441" t="str">
        <f t="shared" si="3"/>
        <v>Negativ-Aspekt: Unfaire Verteilung von Geldmittel</v>
      </c>
      <c r="E129" s="472" t="s">
        <v>1102</v>
      </c>
      <c r="F129" s="442" t="s">
        <v>1103</v>
      </c>
      <c r="G129" s="448" t="s">
        <v>1104</v>
      </c>
      <c r="H129" s="442" t="s">
        <v>1105</v>
      </c>
      <c r="I129" s="442" t="s">
        <v>3158</v>
      </c>
      <c r="J129" s="461"/>
    </row>
    <row r="130" spans="2:10" ht="28.5" customHeight="1">
      <c r="B130" s="439" t="str">
        <f>C130&amp;": "&amp;D130</f>
        <v>B3: Sozial-ökologische Investitionen und Mittelverwendung</v>
      </c>
      <c r="C130" s="466" t="s">
        <v>34</v>
      </c>
      <c r="D130" s="441" t="str">
        <f t="shared" si="3"/>
        <v>Sozial-ökologische Investitionen und Mittelverwendung</v>
      </c>
      <c r="E130" s="467" t="s">
        <v>1106</v>
      </c>
      <c r="F130" s="468" t="s">
        <v>1107</v>
      </c>
      <c r="G130" s="448" t="s">
        <v>1108</v>
      </c>
      <c r="H130" s="442" t="s">
        <v>1109</v>
      </c>
      <c r="I130" s="442" t="s">
        <v>3159</v>
      </c>
      <c r="J130" s="461"/>
    </row>
    <row r="131" spans="2:10" ht="15.75" customHeight="1">
      <c r="C131" s="471" t="s">
        <v>35</v>
      </c>
      <c r="D131" s="441" t="str">
        <f t="shared" si="3"/>
        <v>Ökologische Qualität der Investitionen</v>
      </c>
      <c r="E131" s="469" t="s">
        <v>1110</v>
      </c>
      <c r="F131" s="442" t="s">
        <v>1111</v>
      </c>
      <c r="G131" s="448" t="s">
        <v>1112</v>
      </c>
      <c r="H131" s="442" t="s">
        <v>1113</v>
      </c>
      <c r="I131" s="442" t="s">
        <v>3160</v>
      </c>
      <c r="J131" s="461"/>
    </row>
    <row r="132" spans="2:10" ht="15.75" customHeight="1">
      <c r="C132" s="36" t="s">
        <v>36</v>
      </c>
      <c r="D132" s="441" t="str">
        <f t="shared" si="3"/>
        <v>Gemeinwohlorientierte Veranlagung</v>
      </c>
      <c r="E132" s="472" t="s">
        <v>1114</v>
      </c>
      <c r="F132" s="442" t="s">
        <v>1115</v>
      </c>
      <c r="G132" s="448" t="s">
        <v>1116</v>
      </c>
      <c r="H132" s="442" t="s">
        <v>1117</v>
      </c>
      <c r="I132" s="442" t="s">
        <v>3161</v>
      </c>
      <c r="J132" s="461"/>
    </row>
    <row r="133" spans="2:10" ht="28.5" customHeight="1">
      <c r="C133" s="36" t="s">
        <v>37</v>
      </c>
      <c r="D133" s="441" t="str">
        <f t="shared" si="3"/>
        <v>Negativ-Aspekt: Abhängigkeit von ökologisch bedenklichen Ressourcen</v>
      </c>
      <c r="E133" s="472" t="s">
        <v>1118</v>
      </c>
      <c r="F133" s="442" t="s">
        <v>1119</v>
      </c>
      <c r="G133" s="448" t="s">
        <v>1120</v>
      </c>
      <c r="H133" s="442" t="s">
        <v>1121</v>
      </c>
      <c r="I133" s="442" t="s">
        <v>3162</v>
      </c>
      <c r="J133" s="461"/>
    </row>
    <row r="134" spans="2:10" ht="28.5" customHeight="1">
      <c r="B134" s="439" t="str">
        <f>C134&amp;": "&amp;D134</f>
        <v>B4: Eigentum und Mitentscheidung</v>
      </c>
      <c r="C134" s="466" t="s">
        <v>38</v>
      </c>
      <c r="D134" s="441" t="str">
        <f t="shared" si="3"/>
        <v>Eigentum und Mitentscheidung</v>
      </c>
      <c r="E134" s="467" t="s">
        <v>1122</v>
      </c>
      <c r="F134" s="468" t="s">
        <v>1123</v>
      </c>
      <c r="G134" s="448" t="s">
        <v>1124</v>
      </c>
      <c r="H134" s="442" t="s">
        <v>1125</v>
      </c>
      <c r="I134" s="442" t="s">
        <v>3163</v>
      </c>
      <c r="J134" s="461"/>
    </row>
    <row r="135" spans="2:10" ht="28.5" customHeight="1">
      <c r="C135" s="471" t="s">
        <v>39</v>
      </c>
      <c r="D135" s="441" t="str">
        <f t="shared" si="3"/>
        <v>Gemeinwohlorientierte Eigentumsstruktur</v>
      </c>
      <c r="E135" s="469" t="s">
        <v>1126</v>
      </c>
      <c r="F135" s="442" t="s">
        <v>1127</v>
      </c>
      <c r="G135" s="448" t="s">
        <v>1128</v>
      </c>
      <c r="H135" s="442" t="s">
        <v>1129</v>
      </c>
      <c r="I135" s="442" t="s">
        <v>3164</v>
      </c>
      <c r="J135" s="461"/>
    </row>
    <row r="136" spans="2:10" ht="28.5" customHeight="1">
      <c r="C136" s="36" t="s">
        <v>40</v>
      </c>
      <c r="D136" s="441" t="str">
        <f t="shared" si="3"/>
        <v>Negativ-Aspekt: Feindliche Übernahme</v>
      </c>
      <c r="E136" s="472" t="s">
        <v>1130</v>
      </c>
      <c r="F136" s="442" t="s">
        <v>1131</v>
      </c>
      <c r="G136" s="448" t="s">
        <v>1132</v>
      </c>
      <c r="H136" s="442" t="s">
        <v>1133</v>
      </c>
      <c r="I136" s="442" t="s">
        <v>3165</v>
      </c>
      <c r="J136" s="461"/>
    </row>
    <row r="137" spans="2:10" ht="15.75" customHeight="1">
      <c r="B137" s="462" t="str">
        <f>C137&amp;": "&amp;D137</f>
        <v>C: Mitarbeitende</v>
      </c>
      <c r="C137" s="463" t="s">
        <v>41</v>
      </c>
      <c r="D137" s="441" t="str">
        <f t="shared" si="3"/>
        <v>Mitarbeitende</v>
      </c>
      <c r="E137" s="470" t="s">
        <v>1134</v>
      </c>
      <c r="F137" s="465" t="s">
        <v>1135</v>
      </c>
      <c r="G137" s="448" t="s">
        <v>1136</v>
      </c>
      <c r="H137" s="442" t="s">
        <v>1137</v>
      </c>
      <c r="I137" s="442" t="s">
        <v>3166</v>
      </c>
    </row>
    <row r="138" spans="2:10" ht="28.5" customHeight="1">
      <c r="B138" s="439" t="str">
        <f>C138&amp;": "&amp;D138</f>
        <v>C1: Menschenwürde am Arbeitsplatz</v>
      </c>
      <c r="C138" s="466" t="s">
        <v>42</v>
      </c>
      <c r="D138" s="441" t="str">
        <f t="shared" si="3"/>
        <v>Menschenwürde am Arbeitsplatz</v>
      </c>
      <c r="E138" s="467" t="s">
        <v>1138</v>
      </c>
      <c r="F138" s="468" t="s">
        <v>1139</v>
      </c>
      <c r="G138" s="448" t="s">
        <v>1140</v>
      </c>
      <c r="H138" s="442" t="s">
        <v>1141</v>
      </c>
      <c r="I138" s="442" t="s">
        <v>3167</v>
      </c>
      <c r="J138" s="461"/>
    </row>
    <row r="139" spans="2:10" ht="28.5" customHeight="1">
      <c r="C139" s="469" t="s">
        <v>43</v>
      </c>
      <c r="D139" s="441" t="str">
        <f t="shared" si="3"/>
        <v>Mitarbeiterorientierte Unternehmenskultur</v>
      </c>
      <c r="E139" s="469" t="s">
        <v>1142</v>
      </c>
      <c r="F139" s="442" t="s">
        <v>1143</v>
      </c>
      <c r="G139" s="448" t="s">
        <v>1144</v>
      </c>
      <c r="H139" s="442" t="s">
        <v>1145</v>
      </c>
      <c r="I139" s="442" t="s">
        <v>3168</v>
      </c>
      <c r="J139" s="461"/>
    </row>
    <row r="140" spans="2:10" ht="28.5" customHeight="1">
      <c r="C140" s="472" t="s">
        <v>44</v>
      </c>
      <c r="D140" s="441" t="str">
        <f t="shared" si="3"/>
        <v>Gesundheitsförderung und Arbeitsschutz</v>
      </c>
      <c r="E140" s="472" t="s">
        <v>1146</v>
      </c>
      <c r="F140" s="442" t="s">
        <v>1147</v>
      </c>
      <c r="G140" s="448" t="s">
        <v>1148</v>
      </c>
      <c r="H140" s="442" t="s">
        <v>1149</v>
      </c>
      <c r="I140" s="442" t="s">
        <v>3169</v>
      </c>
      <c r="J140" s="461"/>
    </row>
    <row r="141" spans="2:10" ht="15.75" customHeight="1">
      <c r="C141" s="472" t="s">
        <v>45</v>
      </c>
      <c r="D141" s="441" t="str">
        <f t="shared" si="3"/>
        <v>Diversität und Chancengleichheit</v>
      </c>
      <c r="E141" s="472" t="s">
        <v>1150</v>
      </c>
      <c r="F141" s="442" t="s">
        <v>1151</v>
      </c>
      <c r="G141" s="448" t="s">
        <v>1152</v>
      </c>
      <c r="H141" s="442" t="s">
        <v>1153</v>
      </c>
      <c r="I141" s="442" t="s">
        <v>3170</v>
      </c>
      <c r="J141" s="461"/>
    </row>
    <row r="142" spans="2:10" ht="28.5" customHeight="1">
      <c r="C142" s="473" t="s">
        <v>46</v>
      </c>
      <c r="D142" s="441" t="str">
        <f t="shared" si="3"/>
        <v>Negativ-Aspekt: Menschenunwürdige Arbeitsbedingungen</v>
      </c>
      <c r="E142" s="473" t="s">
        <v>1154</v>
      </c>
      <c r="F142" s="442" t="s">
        <v>1155</v>
      </c>
      <c r="G142" s="448" t="s">
        <v>1156</v>
      </c>
      <c r="H142" s="442" t="s">
        <v>1157</v>
      </c>
      <c r="I142" s="442" t="s">
        <v>3171</v>
      </c>
      <c r="J142" s="461"/>
    </row>
    <row r="143" spans="2:10" ht="28.5" customHeight="1">
      <c r="B143" s="439" t="str">
        <f>C143&amp;": "&amp;D143</f>
        <v>C2: Ausgestaltung der Arbeitsverträge</v>
      </c>
      <c r="C143" s="466" t="s">
        <v>47</v>
      </c>
      <c r="D143" s="441" t="str">
        <f t="shared" si="3"/>
        <v>Ausgestaltung der Arbeitsverträge</v>
      </c>
      <c r="E143" s="467" t="s">
        <v>1158</v>
      </c>
      <c r="F143" s="468" t="s">
        <v>3029</v>
      </c>
      <c r="G143" s="448" t="s">
        <v>1159</v>
      </c>
      <c r="H143" s="442" t="s">
        <v>1160</v>
      </c>
      <c r="I143" s="442" t="s">
        <v>3172</v>
      </c>
      <c r="J143" s="461"/>
    </row>
    <row r="144" spans="2:10" ht="15.75" customHeight="1">
      <c r="C144" s="471" t="s">
        <v>48</v>
      </c>
      <c r="D144" s="441" t="str">
        <f t="shared" si="3"/>
        <v>Ausgestaltung des Verdienstes</v>
      </c>
      <c r="E144" s="469" t="s">
        <v>1161</v>
      </c>
      <c r="F144" s="442" t="s">
        <v>1162</v>
      </c>
      <c r="G144" s="448" t="s">
        <v>1163</v>
      </c>
      <c r="H144" s="442" t="s">
        <v>1164</v>
      </c>
      <c r="I144" s="442" t="s">
        <v>3173</v>
      </c>
      <c r="J144" s="461"/>
    </row>
    <row r="145" spans="2:10" ht="15.75" customHeight="1">
      <c r="C145" s="36" t="s">
        <v>49</v>
      </c>
      <c r="D145" s="441" t="str">
        <f t="shared" si="3"/>
        <v>Ausgestaltung der Arbeitszeit</v>
      </c>
      <c r="E145" s="472" t="s">
        <v>1165</v>
      </c>
      <c r="F145" s="442" t="s">
        <v>1166</v>
      </c>
      <c r="G145" s="448" t="s">
        <v>1167</v>
      </c>
      <c r="H145" s="442" t="s">
        <v>1168</v>
      </c>
      <c r="I145" s="442" t="s">
        <v>3174</v>
      </c>
      <c r="J145" s="461"/>
    </row>
    <row r="146" spans="2:10" ht="28.5" customHeight="1">
      <c r="C146" s="474" t="s">
        <v>50</v>
      </c>
      <c r="D146" s="441" t="str">
        <f t="shared" si="3"/>
        <v>Ausgestaltung des Arbeitsverhältnisses und Work-Life-Balance</v>
      </c>
      <c r="E146" s="473" t="s">
        <v>1169</v>
      </c>
      <c r="F146" s="442" t="s">
        <v>1170</v>
      </c>
      <c r="G146" s="448" t="s">
        <v>1171</v>
      </c>
      <c r="H146" s="442" t="s">
        <v>1172</v>
      </c>
      <c r="I146" s="442" t="s">
        <v>3175</v>
      </c>
      <c r="J146" s="461"/>
    </row>
    <row r="147" spans="2:10" ht="28.5" customHeight="1">
      <c r="C147" s="474" t="s">
        <v>51</v>
      </c>
      <c r="D147" s="441" t="str">
        <f t="shared" si="3"/>
        <v>Negativ-Aspekt: Ungerechte Ausgestaltung der Arbeitsverträge</v>
      </c>
      <c r="E147" s="473" t="s">
        <v>1173</v>
      </c>
      <c r="F147" s="442" t="s">
        <v>1174</v>
      </c>
      <c r="G147" s="448" t="s">
        <v>1175</v>
      </c>
      <c r="H147" s="442" t="s">
        <v>1176</v>
      </c>
      <c r="I147" s="442" t="s">
        <v>3176</v>
      </c>
      <c r="J147" s="461"/>
    </row>
    <row r="148" spans="2:10" ht="41.85" customHeight="1">
      <c r="B148" s="439" t="str">
        <f>C148&amp;": "&amp;D148</f>
        <v>C3: Förderung des ökologischen Verhaltens der Mitarbeitenden</v>
      </c>
      <c r="C148" s="466" t="s">
        <v>52</v>
      </c>
      <c r="D148" s="441" t="str">
        <f t="shared" si="3"/>
        <v>Förderung des ökologischen Verhaltens der Mitarbeitenden</v>
      </c>
      <c r="E148" s="467" t="s">
        <v>1177</v>
      </c>
      <c r="F148" s="468" t="s">
        <v>1178</v>
      </c>
      <c r="G148" s="448" t="s">
        <v>1179</v>
      </c>
      <c r="H148" s="442" t="s">
        <v>1180</v>
      </c>
      <c r="I148" s="442" t="s">
        <v>3177</v>
      </c>
      <c r="J148" s="461"/>
    </row>
    <row r="149" spans="2:10" ht="15.75" customHeight="1">
      <c r="C149" s="471" t="s">
        <v>53</v>
      </c>
      <c r="D149" s="441" t="str">
        <f t="shared" si="3"/>
        <v>Ernährung während der Arbeitszeit</v>
      </c>
      <c r="E149" s="469" t="s">
        <v>1181</v>
      </c>
      <c r="F149" s="442" t="s">
        <v>1182</v>
      </c>
      <c r="G149" s="448" t="s">
        <v>1183</v>
      </c>
      <c r="H149" s="442" t="s">
        <v>1184</v>
      </c>
      <c r="I149" s="442" t="s">
        <v>3178</v>
      </c>
      <c r="J149" s="461"/>
    </row>
    <row r="150" spans="2:10" ht="15.75" customHeight="1">
      <c r="C150" s="36" t="s">
        <v>54</v>
      </c>
      <c r="D150" s="441" t="str">
        <f t="shared" si="3"/>
        <v>Mobilität zum Arbeitsplatz</v>
      </c>
      <c r="E150" s="472" t="s">
        <v>1185</v>
      </c>
      <c r="F150" s="442" t="s">
        <v>1186</v>
      </c>
      <c r="G150" s="448" t="s">
        <v>1187</v>
      </c>
      <c r="H150" s="442" t="s">
        <v>1188</v>
      </c>
      <c r="I150" s="442" t="s">
        <v>3179</v>
      </c>
      <c r="J150" s="461"/>
    </row>
    <row r="151" spans="2:10" ht="28.5" customHeight="1">
      <c r="C151" s="474" t="s">
        <v>55</v>
      </c>
      <c r="D151" s="441" t="str">
        <f t="shared" si="3"/>
        <v>Organisationskultur, Sensibilisierung und unternehmensinterne Prozesse</v>
      </c>
      <c r="E151" s="473" t="s">
        <v>1189</v>
      </c>
      <c r="F151" s="442" t="s">
        <v>1190</v>
      </c>
      <c r="G151" s="448" t="s">
        <v>1191</v>
      </c>
      <c r="H151" s="442" t="s">
        <v>1192</v>
      </c>
      <c r="I151" s="442" t="s">
        <v>3180</v>
      </c>
      <c r="J151" s="461"/>
    </row>
    <row r="152" spans="2:10" ht="41.85" customHeight="1">
      <c r="C152" s="474" t="s">
        <v>56</v>
      </c>
      <c r="D152" s="441" t="str">
        <f t="shared" si="3"/>
        <v>Negativ-Aspekt: Anleitung zur Verschwendung / Duldung unökologischen Verhaltens</v>
      </c>
      <c r="E152" s="473" t="s">
        <v>1193</v>
      </c>
      <c r="F152" s="442" t="s">
        <v>1194</v>
      </c>
      <c r="G152" s="448" t="s">
        <v>1195</v>
      </c>
      <c r="H152" s="442" t="s">
        <v>1196</v>
      </c>
      <c r="I152" s="442" t="s">
        <v>3181</v>
      </c>
      <c r="J152" s="461"/>
    </row>
    <row r="153" spans="2:10" ht="41.85" customHeight="1">
      <c r="B153" s="439" t="str">
        <f>C153&amp;": "&amp;D153</f>
        <v>C4: Innerbetriebliche Mitentscheidung und Transparenz</v>
      </c>
      <c r="C153" s="466" t="s">
        <v>57</v>
      </c>
      <c r="D153" s="441" t="str">
        <f t="shared" si="3"/>
        <v>Innerbetriebliche Mitentscheidung und Transparenz</v>
      </c>
      <c r="E153" s="467" t="str">
        <f>"Innerbetriebliche Mitentscheidung und Transparenz"</f>
        <v>Innerbetriebliche Mitentscheidung und Transparenz</v>
      </c>
      <c r="F153" s="468" t="s">
        <v>1197</v>
      </c>
      <c r="G153" s="448" t="s">
        <v>1198</v>
      </c>
      <c r="H153" s="442" t="s">
        <v>1199</v>
      </c>
      <c r="I153" s="442" t="s">
        <v>3182</v>
      </c>
      <c r="J153" s="461"/>
    </row>
    <row r="154" spans="2:10" ht="15.75" customHeight="1">
      <c r="C154" s="471" t="s">
        <v>58</v>
      </c>
      <c r="D154" s="441" t="str">
        <f t="shared" si="3"/>
        <v>Innerbetriebliche Transparenz</v>
      </c>
      <c r="E154" s="469" t="s">
        <v>1200</v>
      </c>
      <c r="F154" s="442" t="s">
        <v>1201</v>
      </c>
      <c r="G154" s="448" t="s">
        <v>1202</v>
      </c>
      <c r="H154" s="442" t="s">
        <v>1203</v>
      </c>
      <c r="I154" s="442" t="s">
        <v>3183</v>
      </c>
      <c r="J154" s="461"/>
    </row>
    <row r="155" spans="2:10" ht="15.75" customHeight="1">
      <c r="C155" s="36" t="s">
        <v>59</v>
      </c>
      <c r="D155" s="441" t="str">
        <f t="shared" si="3"/>
        <v>Legitimierung der Führungskräfte</v>
      </c>
      <c r="E155" s="472" t="s">
        <v>1204</v>
      </c>
      <c r="F155" s="442" t="s">
        <v>1205</v>
      </c>
      <c r="G155" s="448" t="s">
        <v>1206</v>
      </c>
      <c r="H155" s="442" t="s">
        <v>1207</v>
      </c>
      <c r="I155" s="442" t="s">
        <v>3184</v>
      </c>
      <c r="J155" s="461"/>
    </row>
    <row r="156" spans="2:10" ht="28.5" customHeight="1">
      <c r="C156" s="36" t="s">
        <v>60</v>
      </c>
      <c r="D156" s="441" t="str">
        <f t="shared" si="3"/>
        <v>Mitentscheidung der Mitarbeitenden</v>
      </c>
      <c r="E156" s="472" t="s">
        <v>1208</v>
      </c>
      <c r="F156" s="442" t="s">
        <v>1209</v>
      </c>
      <c r="G156" s="448" t="s">
        <v>1210</v>
      </c>
      <c r="H156" s="442" t="s">
        <v>1211</v>
      </c>
      <c r="I156" s="442" t="s">
        <v>3185</v>
      </c>
      <c r="J156" s="461"/>
    </row>
    <row r="157" spans="2:10" ht="28.5" customHeight="1">
      <c r="C157" s="48" t="s">
        <v>61</v>
      </c>
      <c r="D157" s="441" t="str">
        <f t="shared" si="3"/>
        <v>Negativ-Aspekt C4.4: Verhinderung des Betriebsrates</v>
      </c>
      <c r="E157" s="475" t="s">
        <v>1212</v>
      </c>
      <c r="F157" s="442" t="s">
        <v>1213</v>
      </c>
      <c r="G157" s="448" t="s">
        <v>1214</v>
      </c>
      <c r="H157" s="442" t="s">
        <v>1215</v>
      </c>
      <c r="I157" s="442" t="s">
        <v>3186</v>
      </c>
      <c r="J157" s="461"/>
    </row>
    <row r="158" spans="2:10" ht="15.75" customHeight="1">
      <c r="B158" s="462" t="str">
        <f>C158&amp;": "&amp;D158</f>
        <v>D: Kund*nnen und Mitunternehmen</v>
      </c>
      <c r="C158" s="463" t="s">
        <v>62</v>
      </c>
      <c r="D158" s="441" t="str">
        <f t="shared" si="3"/>
        <v>Kund*nnen und Mitunternehmen</v>
      </c>
      <c r="E158" s="470" t="s">
        <v>1216</v>
      </c>
      <c r="F158" s="465" t="s">
        <v>1217</v>
      </c>
      <c r="G158" s="448" t="s">
        <v>1218</v>
      </c>
      <c r="H158" s="442" t="s">
        <v>1219</v>
      </c>
      <c r="I158" s="442" t="s">
        <v>3187</v>
      </c>
    </row>
    <row r="159" spans="2:10" ht="28.5" customHeight="1">
      <c r="B159" s="439" t="str">
        <f>C159&amp;": "&amp;D159</f>
        <v>D1: Ethische Kund*innenbeziehungen</v>
      </c>
      <c r="C159" s="466" t="s">
        <v>63</v>
      </c>
      <c r="D159" s="441" t="str">
        <f t="shared" si="3"/>
        <v>Ethische Kund*innenbeziehungen</v>
      </c>
      <c r="E159" s="467" t="s">
        <v>1220</v>
      </c>
      <c r="F159" s="468" t="s">
        <v>1221</v>
      </c>
      <c r="G159" s="448" t="s">
        <v>1222</v>
      </c>
      <c r="H159" s="442" t="s">
        <v>1223</v>
      </c>
      <c r="I159" s="442" t="s">
        <v>3188</v>
      </c>
      <c r="J159" s="461"/>
    </row>
    <row r="160" spans="2:10" ht="28.5" customHeight="1">
      <c r="C160" s="469" t="s">
        <v>64</v>
      </c>
      <c r="D160" s="441" t="str">
        <f t="shared" si="3"/>
        <v>Menschenwürdige Kommunikation mit Kund*innen</v>
      </c>
      <c r="E160" s="469" t="s">
        <v>1224</v>
      </c>
      <c r="F160" s="442" t="s">
        <v>1225</v>
      </c>
      <c r="G160" s="448" t="s">
        <v>1226</v>
      </c>
      <c r="H160" s="442" t="s">
        <v>1227</v>
      </c>
      <c r="I160" s="442" t="s">
        <v>3189</v>
      </c>
      <c r="J160" s="461"/>
    </row>
    <row r="161" spans="2:10" ht="15.75" customHeight="1">
      <c r="C161" s="36" t="s">
        <v>65</v>
      </c>
      <c r="D161" s="441" t="str">
        <f t="shared" si="3"/>
        <v>Barrierefreiheit</v>
      </c>
      <c r="E161" s="469" t="s">
        <v>1228</v>
      </c>
      <c r="F161" s="442" t="s">
        <v>1229</v>
      </c>
      <c r="G161" s="448" t="s">
        <v>1230</v>
      </c>
      <c r="H161" s="442" t="s">
        <v>1231</v>
      </c>
      <c r="I161" s="442" t="s">
        <v>3190</v>
      </c>
      <c r="J161" s="461"/>
    </row>
    <row r="162" spans="2:10" ht="28.5" customHeight="1">
      <c r="C162" s="472" t="s">
        <v>66</v>
      </c>
      <c r="D162" s="441" t="str">
        <f t="shared" si="3"/>
        <v>Negativ-Aspekt: Unethische Werbemaßnahmen</v>
      </c>
      <c r="E162" s="469" t="s">
        <v>1232</v>
      </c>
      <c r="F162" s="442" t="s">
        <v>1233</v>
      </c>
      <c r="G162" s="448" t="s">
        <v>1234</v>
      </c>
      <c r="H162" s="442" t="s">
        <v>1235</v>
      </c>
      <c r="I162" s="442" t="s">
        <v>3191</v>
      </c>
      <c r="J162" s="461"/>
    </row>
    <row r="163" spans="2:10" ht="28.5" customHeight="1">
      <c r="B163" s="439" t="str">
        <f>C163&amp;": "&amp;D163</f>
        <v>D2: Kooperation und Solidarität mit Mitunternehmen</v>
      </c>
      <c r="C163" s="466" t="s">
        <v>67</v>
      </c>
      <c r="D163" s="441" t="str">
        <f t="shared" si="3"/>
        <v>Kooperation und Solidarität mit Mitunternehmen</v>
      </c>
      <c r="E163" s="467" t="s">
        <v>1236</v>
      </c>
      <c r="F163" s="468" t="s">
        <v>1237</v>
      </c>
      <c r="G163" s="448" t="s">
        <v>1238</v>
      </c>
      <c r="H163" s="442" t="s">
        <v>1239</v>
      </c>
      <c r="I163" s="442" t="s">
        <v>3192</v>
      </c>
      <c r="J163" s="461"/>
    </row>
    <row r="164" spans="2:10" ht="15.75" customHeight="1">
      <c r="C164" s="469" t="s">
        <v>68</v>
      </c>
      <c r="D164" s="441" t="str">
        <f t="shared" si="3"/>
        <v>Kooperation mit Mitunternehmen</v>
      </c>
      <c r="E164" s="469" t="s">
        <v>1240</v>
      </c>
      <c r="F164" s="442" t="s">
        <v>1241</v>
      </c>
      <c r="G164" s="448" t="s">
        <v>1242</v>
      </c>
      <c r="H164" s="442" t="s">
        <v>1243</v>
      </c>
      <c r="I164" s="442" t="s">
        <v>3193</v>
      </c>
      <c r="J164" s="461"/>
    </row>
    <row r="165" spans="2:10" ht="15.75" customHeight="1">
      <c r="C165" s="472" t="s">
        <v>69</v>
      </c>
      <c r="D165" s="441" t="str">
        <f t="shared" si="3"/>
        <v>Solidarität mit Mitunternehmen</v>
      </c>
      <c r="E165" s="469" t="s">
        <v>1244</v>
      </c>
      <c r="F165" s="442" t="s">
        <v>1245</v>
      </c>
      <c r="G165" s="448" t="s">
        <v>1246</v>
      </c>
      <c r="H165" s="442" t="s">
        <v>1247</v>
      </c>
      <c r="I165" s="442" t="s">
        <v>3194</v>
      </c>
      <c r="J165" s="461"/>
    </row>
    <row r="166" spans="2:10" ht="28.5" customHeight="1">
      <c r="C166" s="473" t="s">
        <v>70</v>
      </c>
      <c r="D166" s="441" t="str">
        <f t="shared" si="3"/>
        <v>Negativ-Aspekt D2.3: Missbrauch der Marktmacht gegenüber Mitunternehmen</v>
      </c>
      <c r="E166" s="476" t="s">
        <v>1248</v>
      </c>
      <c r="F166" s="442" t="s">
        <v>1249</v>
      </c>
      <c r="G166" s="448" t="s">
        <v>1250</v>
      </c>
      <c r="H166" s="442" t="s">
        <v>1251</v>
      </c>
      <c r="I166" s="442" t="s">
        <v>3195</v>
      </c>
      <c r="J166" s="461"/>
    </row>
    <row r="167" spans="2:10" ht="41.85" customHeight="1">
      <c r="B167" s="439" t="str">
        <f>C167&amp;": "&amp;D167</f>
        <v>D3: Ökologische Auswirkung durch Nutzung und Entsorgung von Produkten und Dienstleistungen</v>
      </c>
      <c r="C167" s="466" t="s">
        <v>71</v>
      </c>
      <c r="D167" s="441" t="str">
        <f t="shared" ref="D167:D230" si="4">HLOOKUP($C$1,$E$1:$V$4910,ROW(D167))</f>
        <v>Ökologische Auswirkung durch Nutzung und Entsorgung von Produkten und Dienstleistungen</v>
      </c>
      <c r="E167" s="467" t="s">
        <v>1252</v>
      </c>
      <c r="F167" s="468" t="s">
        <v>1253</v>
      </c>
      <c r="G167" s="448" t="s">
        <v>1254</v>
      </c>
      <c r="H167" s="442" t="s">
        <v>1255</v>
      </c>
      <c r="I167" s="442" t="s">
        <v>3196</v>
      </c>
      <c r="J167" s="461"/>
    </row>
    <row r="168" spans="2:10" ht="41.85" customHeight="1">
      <c r="C168" s="469" t="s">
        <v>72</v>
      </c>
      <c r="D168" s="441" t="str">
        <f t="shared" si="4"/>
        <v>Ökologisches Kosten-Nutzen-Verhältnis von Produkten und Dienstleistungen (Effizienz und Konsistenz)</v>
      </c>
      <c r="E168" s="469" t="s">
        <v>1256</v>
      </c>
      <c r="F168" s="442" t="s">
        <v>1257</v>
      </c>
      <c r="G168" s="448" t="s">
        <v>1258</v>
      </c>
      <c r="H168" s="442" t="s">
        <v>1259</v>
      </c>
      <c r="I168" s="442" t="s">
        <v>3197</v>
      </c>
      <c r="J168" s="461"/>
    </row>
    <row r="169" spans="2:10" ht="28.5" customHeight="1">
      <c r="C169" s="472" t="s">
        <v>73</v>
      </c>
      <c r="D169" s="441" t="str">
        <f t="shared" si="4"/>
        <v>Maßvolle Nutzung von Produkten und Dienstleistungen (Suffizienz)</v>
      </c>
      <c r="E169" s="469" t="s">
        <v>1260</v>
      </c>
      <c r="F169" s="442" t="s">
        <v>1261</v>
      </c>
      <c r="G169" s="448" t="s">
        <v>1262</v>
      </c>
      <c r="H169" s="442" t="s">
        <v>1263</v>
      </c>
      <c r="I169" s="442" t="s">
        <v>3198</v>
      </c>
      <c r="J169" s="461"/>
    </row>
    <row r="170" spans="2:10" ht="38.85" customHeight="1">
      <c r="C170" s="473" t="s">
        <v>74</v>
      </c>
      <c r="D170" s="441" t="str">
        <f t="shared" si="4"/>
        <v>Negativ-Aspekt: Bewusste Inkaufnahme unverhältnismäßiger, ökologischer Auswirkungen</v>
      </c>
      <c r="E170" s="476" t="s">
        <v>1264</v>
      </c>
      <c r="F170" s="442" t="s">
        <v>1265</v>
      </c>
      <c r="G170" s="448" t="s">
        <v>1266</v>
      </c>
      <c r="H170" s="442" t="s">
        <v>1267</v>
      </c>
      <c r="I170" s="442" t="s">
        <v>3199</v>
      </c>
      <c r="J170" s="461"/>
    </row>
    <row r="171" spans="2:10" ht="28.5" customHeight="1">
      <c r="B171" s="439" t="str">
        <f>C171&amp;": "&amp;D171</f>
        <v>D4: Kund*innen-Mitwirkung und Produkttransparenz</v>
      </c>
      <c r="C171" s="466" t="s">
        <v>75</v>
      </c>
      <c r="D171" s="441" t="str">
        <f t="shared" si="4"/>
        <v>Kund*innen-Mitwirkung und Produkttransparenz</v>
      </c>
      <c r="E171" s="467" t="s">
        <v>1268</v>
      </c>
      <c r="F171" s="468" t="s">
        <v>1269</v>
      </c>
      <c r="G171" s="448" t="s">
        <v>1270</v>
      </c>
      <c r="H171" s="442" t="s">
        <v>1271</v>
      </c>
      <c r="I171" s="442" t="s">
        <v>3200</v>
      </c>
      <c r="J171" s="461"/>
    </row>
    <row r="172" spans="2:10" ht="28.5" customHeight="1">
      <c r="C172" s="469" t="s">
        <v>76</v>
      </c>
      <c r="D172" s="441" t="str">
        <f t="shared" si="4"/>
        <v>Kund*innen-Mitwirkung, gemeinsame Produktentwicklung und Marktforschung</v>
      </c>
      <c r="E172" s="469" t="s">
        <v>1272</v>
      </c>
      <c r="F172" s="442" t="s">
        <v>1273</v>
      </c>
      <c r="G172" s="448" t="s">
        <v>1274</v>
      </c>
      <c r="H172" s="442" t="s">
        <v>1275</v>
      </c>
      <c r="I172" s="442" t="s">
        <v>3201</v>
      </c>
      <c r="J172" s="461"/>
    </row>
    <row r="173" spans="2:10" ht="15.75" customHeight="1">
      <c r="C173" s="473" t="s">
        <v>77</v>
      </c>
      <c r="D173" s="441" t="str">
        <f t="shared" si="4"/>
        <v>Produkttransparenz</v>
      </c>
      <c r="E173" s="476" t="s">
        <v>1276</v>
      </c>
      <c r="F173" s="442" t="s">
        <v>1277</v>
      </c>
      <c r="G173" s="448" t="s">
        <v>1278</v>
      </c>
      <c r="H173" s="442" t="s">
        <v>1279</v>
      </c>
      <c r="I173" s="442" t="s">
        <v>3202</v>
      </c>
      <c r="J173" s="461"/>
    </row>
    <row r="174" spans="2:10" ht="28.5" customHeight="1">
      <c r="C174" s="473" t="s">
        <v>77</v>
      </c>
      <c r="D174" s="441" t="str">
        <f t="shared" si="4"/>
        <v>Negativ-Aspekt: Kein Ausweis von Gefahrenstoffen</v>
      </c>
      <c r="E174" s="473" t="s">
        <v>1280</v>
      </c>
      <c r="F174" s="442" t="s">
        <v>1281</v>
      </c>
      <c r="G174" s="448" t="s">
        <v>1282</v>
      </c>
      <c r="H174" s="442" t="s">
        <v>1283</v>
      </c>
      <c r="I174" s="442" t="s">
        <v>3203</v>
      </c>
      <c r="J174" s="461"/>
    </row>
    <row r="175" spans="2:10" ht="15.75" customHeight="1">
      <c r="B175" s="462" t="str">
        <f>C175&amp;": "&amp;D175</f>
        <v>E: Gesellschaftliches Umfeld</v>
      </c>
      <c r="C175" s="463" t="s">
        <v>78</v>
      </c>
      <c r="D175" s="441" t="str">
        <f t="shared" si="4"/>
        <v>Gesellschaftliches Umfeld</v>
      </c>
      <c r="E175" s="470" t="s">
        <v>1284</v>
      </c>
      <c r="F175" s="465" t="s">
        <v>1285</v>
      </c>
      <c r="G175" s="448" t="s">
        <v>1286</v>
      </c>
      <c r="H175" s="442" t="s">
        <v>1287</v>
      </c>
      <c r="I175" s="442" t="s">
        <v>3204</v>
      </c>
    </row>
    <row r="176" spans="2:10" ht="28.5" customHeight="1">
      <c r="B176" s="439" t="str">
        <f>C176&amp;": "&amp;D176</f>
        <v>E1: Sinn und gesellschaftliche Wirkung der Produkte und Dienstleistungen</v>
      </c>
      <c r="C176" s="466" t="s">
        <v>79</v>
      </c>
      <c r="D176" s="441" t="str">
        <f t="shared" si="4"/>
        <v>Sinn und gesellschaftliche Wirkung der Produkte und Dienstleistungen</v>
      </c>
      <c r="E176" s="467" t="s">
        <v>1288</v>
      </c>
      <c r="F176" s="468" t="s">
        <v>1289</v>
      </c>
      <c r="G176" s="448" t="s">
        <v>1290</v>
      </c>
      <c r="H176" s="442" t="s">
        <v>1291</v>
      </c>
      <c r="I176" s="442" t="s">
        <v>3205</v>
      </c>
    </row>
    <row r="177" spans="2:9" ht="28.5" customHeight="1">
      <c r="C177" s="469" t="s">
        <v>80</v>
      </c>
      <c r="D177" s="441" t="str">
        <f t="shared" si="4"/>
        <v>Produkte und Dienstleistungen decken den Grundbedarf und dienen dem guten Leben</v>
      </c>
      <c r="E177" s="469" t="s">
        <v>1292</v>
      </c>
      <c r="F177" s="442" t="s">
        <v>1293</v>
      </c>
      <c r="G177" s="448" t="s">
        <v>1294</v>
      </c>
      <c r="H177" s="442" t="s">
        <v>1295</v>
      </c>
      <c r="I177" s="442" t="s">
        <v>3206</v>
      </c>
    </row>
    <row r="178" spans="2:9" ht="28.5" customHeight="1">
      <c r="C178" s="473" t="s">
        <v>81</v>
      </c>
      <c r="D178" s="441" t="str">
        <f t="shared" si="4"/>
        <v>Gesellschaftliche Wirkung der Produkte und Dienstleistungen</v>
      </c>
      <c r="E178" s="473" t="s">
        <v>1296</v>
      </c>
      <c r="F178" s="442" t="s">
        <v>1297</v>
      </c>
      <c r="G178" s="448" t="s">
        <v>1298</v>
      </c>
      <c r="H178" s="442" t="s">
        <v>1299</v>
      </c>
      <c r="I178" s="442" t="s">
        <v>3207</v>
      </c>
    </row>
    <row r="179" spans="2:9" ht="28.5" customHeight="1">
      <c r="C179" s="473" t="s">
        <v>82</v>
      </c>
      <c r="D179" s="441" t="str">
        <f t="shared" si="4"/>
        <v>Negativ-Aspekt: Menschenunwürdige Produkte und Dienstleistungen</v>
      </c>
      <c r="E179" s="473" t="s">
        <v>1300</v>
      </c>
      <c r="F179" s="442" t="s">
        <v>1301</v>
      </c>
      <c r="G179" s="448" t="s">
        <v>1302</v>
      </c>
      <c r="H179" s="442" t="s">
        <v>1303</v>
      </c>
      <c r="I179" s="442" t="s">
        <v>3208</v>
      </c>
    </row>
    <row r="180" spans="2:9" ht="28.5" customHeight="1">
      <c r="B180" s="439" t="str">
        <f>C180&amp;": "&amp;D180</f>
        <v>E2: Beitrag zum Gemeinwesen</v>
      </c>
      <c r="C180" s="466" t="s">
        <v>83</v>
      </c>
      <c r="D180" s="441" t="str">
        <f t="shared" si="4"/>
        <v>Beitrag zum Gemeinwesen</v>
      </c>
      <c r="E180" s="467" t="s">
        <v>1304</v>
      </c>
      <c r="F180" s="468" t="s">
        <v>1305</v>
      </c>
      <c r="G180" s="448" t="s">
        <v>1306</v>
      </c>
      <c r="H180" s="442" t="s">
        <v>1307</v>
      </c>
      <c r="I180" s="442" t="s">
        <v>3209</v>
      </c>
    </row>
    <row r="181" spans="2:9" ht="15.75" customHeight="1">
      <c r="C181" s="471" t="s">
        <v>84</v>
      </c>
      <c r="D181" s="441" t="str">
        <f t="shared" si="4"/>
        <v>Steuern und Sozialabgaben</v>
      </c>
      <c r="E181" s="469" t="s">
        <v>1308</v>
      </c>
      <c r="F181" s="442" t="s">
        <v>1309</v>
      </c>
      <c r="G181" s="448" t="s">
        <v>1310</v>
      </c>
      <c r="H181" s="442" t="s">
        <v>1311</v>
      </c>
      <c r="I181" s="442" t="s">
        <v>3210</v>
      </c>
    </row>
    <row r="182" spans="2:9" ht="28.5" customHeight="1">
      <c r="C182" s="36" t="s">
        <v>85</v>
      </c>
      <c r="D182" s="441" t="str">
        <f t="shared" si="4"/>
        <v>Freiwillige Beiträge zur Stärkung des Gemeinwesens</v>
      </c>
      <c r="E182" s="472" t="s">
        <v>1312</v>
      </c>
      <c r="F182" s="442" t="s">
        <v>1313</v>
      </c>
      <c r="G182" s="448" t="s">
        <v>1314</v>
      </c>
      <c r="H182" s="442" t="s">
        <v>1315</v>
      </c>
      <c r="I182" s="442" t="s">
        <v>3211</v>
      </c>
    </row>
    <row r="183" spans="2:9" ht="15.75" customHeight="1">
      <c r="C183" s="474" t="s">
        <v>86</v>
      </c>
      <c r="D183" s="477" t="str">
        <f t="shared" si="4"/>
        <v>Negativ-Aspekt: Illegitime Steuervermeidung</v>
      </c>
      <c r="E183" s="473" t="s">
        <v>1316</v>
      </c>
      <c r="F183" s="442" t="s">
        <v>1317</v>
      </c>
      <c r="G183" s="448" t="s">
        <v>1318</v>
      </c>
      <c r="H183" s="442" t="s">
        <v>1319</v>
      </c>
      <c r="I183" s="442" t="s">
        <v>3212</v>
      </c>
    </row>
    <row r="184" spans="2:9" ht="28.5" customHeight="1">
      <c r="C184" s="474" t="s">
        <v>87</v>
      </c>
      <c r="D184" s="441" t="str">
        <f t="shared" si="4"/>
        <v>Negativ-Aspekt: Mangelnde Korruptionsprävention</v>
      </c>
      <c r="E184" s="473" t="s">
        <v>1320</v>
      </c>
      <c r="F184" s="442" t="s">
        <v>1321</v>
      </c>
      <c r="G184" s="448" t="s">
        <v>1322</v>
      </c>
      <c r="H184" s="442" t="s">
        <v>1323</v>
      </c>
      <c r="I184" s="442" t="s">
        <v>3213</v>
      </c>
    </row>
    <row r="185" spans="2:9" ht="28.5" customHeight="1">
      <c r="B185" s="439" t="str">
        <f>C185&amp;": "&amp;D185</f>
        <v>E3: Reduktion ökologischer Auswirkungen</v>
      </c>
      <c r="C185" s="466" t="s">
        <v>88</v>
      </c>
      <c r="D185" s="441" t="str">
        <f t="shared" si="4"/>
        <v>Reduktion ökologischer Auswirkungen</v>
      </c>
      <c r="E185" s="467" t="s">
        <v>1324</v>
      </c>
      <c r="F185" s="468" t="s">
        <v>1325</v>
      </c>
      <c r="G185" s="448" t="s">
        <v>1326</v>
      </c>
      <c r="H185" s="442" t="s">
        <v>1327</v>
      </c>
      <c r="I185" s="442" t="s">
        <v>3214</v>
      </c>
    </row>
    <row r="186" spans="2:9" ht="28.5" customHeight="1">
      <c r="C186" s="471" t="s">
        <v>89</v>
      </c>
      <c r="D186" s="441" t="str">
        <f t="shared" si="4"/>
        <v>Absolute Auswirkungen / Management &amp; Strategie</v>
      </c>
      <c r="E186" s="469" t="s">
        <v>1328</v>
      </c>
      <c r="F186" s="442" t="s">
        <v>1329</v>
      </c>
      <c r="G186" s="448" t="s">
        <v>1330</v>
      </c>
      <c r="H186" s="442" t="s">
        <v>1331</v>
      </c>
      <c r="I186" s="442" t="s">
        <v>3215</v>
      </c>
    </row>
    <row r="187" spans="2:9" ht="15.75" customHeight="1">
      <c r="C187" s="36" t="s">
        <v>90</v>
      </c>
      <c r="D187" s="477" t="str">
        <f t="shared" si="4"/>
        <v>Relative Auswirkungen</v>
      </c>
      <c r="E187" s="472" t="s">
        <v>1332</v>
      </c>
      <c r="F187" s="442" t="s">
        <v>1333</v>
      </c>
      <c r="G187" s="448" t="s">
        <v>1334</v>
      </c>
      <c r="H187" s="442" t="s">
        <v>1335</v>
      </c>
      <c r="I187" s="442" t="s">
        <v>3216</v>
      </c>
    </row>
    <row r="188" spans="2:9" ht="41.85" customHeight="1">
      <c r="C188" s="474" t="s">
        <v>91</v>
      </c>
      <c r="D188" s="441" t="str">
        <f t="shared" si="4"/>
        <v>Negativ-Aspekt: Verstöße gegen Umweltauflagen sowie unangemessene Umweltbelastungen</v>
      </c>
      <c r="E188" s="473" t="s">
        <v>1336</v>
      </c>
      <c r="F188" s="442" t="s">
        <v>1337</v>
      </c>
      <c r="G188" s="448" t="s">
        <v>1338</v>
      </c>
      <c r="H188" s="442" t="s">
        <v>1339</v>
      </c>
      <c r="I188" s="442" t="s">
        <v>3217</v>
      </c>
    </row>
    <row r="189" spans="2:9" ht="28.5" customHeight="1">
      <c r="B189" s="439" t="str">
        <f>C189&amp;": "&amp;D189</f>
        <v>E4: Transparenz und gesellschaftliche Mitentscheidung</v>
      </c>
      <c r="C189" s="466" t="s">
        <v>92</v>
      </c>
      <c r="D189" s="441" t="str">
        <f t="shared" si="4"/>
        <v>Transparenz und gesellschaftliche Mitentscheidung</v>
      </c>
      <c r="E189" s="467" t="s">
        <v>1340</v>
      </c>
      <c r="F189" s="468" t="s">
        <v>1341</v>
      </c>
      <c r="G189" s="448" t="s">
        <v>1342</v>
      </c>
      <c r="H189" s="442" t="s">
        <v>1343</v>
      </c>
      <c r="I189" s="442" t="s">
        <v>3218</v>
      </c>
    </row>
    <row r="190" spans="2:9" ht="15.75" customHeight="1">
      <c r="C190" s="471" t="s">
        <v>93</v>
      </c>
      <c r="D190" s="441" t="str">
        <f t="shared" si="4"/>
        <v>Transparenz</v>
      </c>
      <c r="E190" s="469" t="s">
        <v>1344</v>
      </c>
      <c r="F190" s="442" t="s">
        <v>1345</v>
      </c>
      <c r="G190" s="448" t="s">
        <v>1346</v>
      </c>
      <c r="H190" s="442" t="s">
        <v>1347</v>
      </c>
      <c r="I190" s="442" t="s">
        <v>3219</v>
      </c>
    </row>
    <row r="191" spans="2:9" ht="28.5" customHeight="1">
      <c r="C191" s="471" t="s">
        <v>94</v>
      </c>
      <c r="D191" s="477" t="str">
        <f t="shared" si="4"/>
        <v>Gesellschaftliche Mitbestimmung</v>
      </c>
      <c r="E191" s="469" t="s">
        <v>1348</v>
      </c>
      <c r="F191" s="442" t="s">
        <v>1349</v>
      </c>
      <c r="G191" s="448" t="s">
        <v>1350</v>
      </c>
      <c r="H191" s="442" t="s">
        <v>1351</v>
      </c>
      <c r="I191" s="442" t="s">
        <v>3220</v>
      </c>
    </row>
    <row r="192" spans="2:9" ht="28.5" customHeight="1">
      <c r="C192" s="471" t="s">
        <v>95</v>
      </c>
      <c r="D192" s="441" t="str">
        <f t="shared" si="4"/>
        <v>Negativ-Aspekt: Förderung von Intransparenz und bewusste Fehlinformation</v>
      </c>
      <c r="E192" s="469" t="s">
        <v>1352</v>
      </c>
      <c r="F192" s="442" t="s">
        <v>1353</v>
      </c>
      <c r="G192" s="448" t="s">
        <v>1354</v>
      </c>
      <c r="H192" s="442" t="s">
        <v>1355</v>
      </c>
      <c r="I192" s="442" t="s">
        <v>3221</v>
      </c>
    </row>
    <row r="193" spans="4:9" ht="15.75" customHeight="1">
      <c r="D193" s="441">
        <f t="shared" si="4"/>
        <v>0</v>
      </c>
      <c r="E193" s="442"/>
      <c r="G193" s="448"/>
      <c r="H193" s="442"/>
      <c r="I193" s="442">
        <v>0</v>
      </c>
    </row>
    <row r="194" spans="4:9" ht="15.75" customHeight="1">
      <c r="D194" s="441" t="str">
        <f t="shared" si="4"/>
        <v>Fakten zum Unternehmen</v>
      </c>
      <c r="E194" s="442" t="s">
        <v>1356</v>
      </c>
      <c r="F194" s="442" t="s">
        <v>1357</v>
      </c>
      <c r="G194" s="448" t="s">
        <v>1358</v>
      </c>
      <c r="H194" s="442" t="s">
        <v>1359</v>
      </c>
      <c r="I194" s="442" t="s">
        <v>3222</v>
      </c>
    </row>
    <row r="195" spans="4:9" ht="121.5" customHeight="1">
      <c r="D195" s="441" t="str">
        <f t="shared" si="4"/>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E195" s="447" t="s">
        <v>1360</v>
      </c>
      <c r="F195" s="442" t="s">
        <v>1361</v>
      </c>
      <c r="G195" s="448" t="s">
        <v>1362</v>
      </c>
      <c r="H195" s="442" t="s">
        <v>1363</v>
      </c>
      <c r="I195" s="442" t="s">
        <v>3223</v>
      </c>
    </row>
    <row r="196" spans="4:9" ht="15.75" customHeight="1">
      <c r="D196" s="441">
        <f t="shared" si="4"/>
        <v>0</v>
      </c>
      <c r="E196" s="442"/>
      <c r="G196" s="448"/>
      <c r="H196" s="442"/>
      <c r="I196" s="442">
        <v>0</v>
      </c>
    </row>
    <row r="197" spans="4:9" ht="15.75" customHeight="1">
      <c r="D197" s="441">
        <f t="shared" si="4"/>
        <v>0</v>
      </c>
      <c r="E197" s="442"/>
      <c r="G197" s="448"/>
      <c r="H197" s="442"/>
      <c r="I197" s="442">
        <v>0</v>
      </c>
    </row>
    <row r="198" spans="4:9" ht="15.75" customHeight="1">
      <c r="D198" s="441">
        <f t="shared" si="4"/>
        <v>0</v>
      </c>
      <c r="E198" s="442"/>
      <c r="G198" s="448"/>
      <c r="H198" s="442"/>
      <c r="I198" s="442">
        <v>0</v>
      </c>
    </row>
    <row r="199" spans="4:9" ht="15.75" customHeight="1">
      <c r="D199" s="441">
        <f t="shared" si="4"/>
        <v>0</v>
      </c>
      <c r="E199" s="442"/>
      <c r="G199" s="448"/>
      <c r="H199" s="442"/>
      <c r="I199" s="442">
        <v>0</v>
      </c>
    </row>
    <row r="200" spans="4:9" ht="15.75" customHeight="1">
      <c r="D200" s="441">
        <f t="shared" si="4"/>
        <v>0</v>
      </c>
      <c r="E200" s="442"/>
      <c r="G200" s="448"/>
      <c r="H200" s="442"/>
      <c r="I200" s="442">
        <v>0</v>
      </c>
    </row>
    <row r="201" spans="4:9" ht="15.75" customHeight="1">
      <c r="D201" s="441">
        <f t="shared" si="4"/>
        <v>0</v>
      </c>
      <c r="E201" s="442"/>
      <c r="G201" s="448"/>
      <c r="H201" s="442"/>
      <c r="I201" s="442">
        <v>0</v>
      </c>
    </row>
    <row r="202" spans="4:9" ht="15.75" customHeight="1">
      <c r="D202" s="441" t="str">
        <f t="shared" si="4"/>
        <v>bitte einfügen</v>
      </c>
      <c r="E202" s="442" t="s">
        <v>1364</v>
      </c>
      <c r="F202" s="442" t="s">
        <v>1365</v>
      </c>
      <c r="G202" s="448" t="s">
        <v>1366</v>
      </c>
      <c r="H202" s="442" t="s">
        <v>1367</v>
      </c>
      <c r="I202" s="442" t="s">
        <v>3224</v>
      </c>
    </row>
    <row r="203" spans="4:9" ht="15.75" customHeight="1">
      <c r="D203" s="441" t="str">
        <f t="shared" si="4"/>
        <v>Bitte Auswählen</v>
      </c>
      <c r="E203" s="442" t="s">
        <v>1368</v>
      </c>
      <c r="F203" s="442" t="s">
        <v>1369</v>
      </c>
      <c r="G203" s="448" t="s">
        <v>1370</v>
      </c>
      <c r="H203" s="442" t="s">
        <v>1371</v>
      </c>
      <c r="I203" s="442" t="s">
        <v>3225</v>
      </c>
    </row>
    <row r="204" spans="4:9" ht="15.75" customHeight="1">
      <c r="D204" s="441" t="str">
        <f t="shared" si="4"/>
        <v>Beschreibung des Gewichtungsmodelles</v>
      </c>
      <c r="E204" s="442" t="s">
        <v>1372</v>
      </c>
      <c r="F204" s="442" t="s">
        <v>1373</v>
      </c>
      <c r="G204" s="448" t="s">
        <v>1374</v>
      </c>
      <c r="H204" s="442" t="s">
        <v>1375</v>
      </c>
      <c r="I204" s="442" t="s">
        <v>3226</v>
      </c>
    </row>
    <row r="205" spans="4:9" ht="15.75" customHeight="1">
      <c r="D205" s="441" t="str">
        <f t="shared" si="4"/>
        <v>Themen</v>
      </c>
      <c r="E205" s="442" t="s">
        <v>1376</v>
      </c>
      <c r="F205" s="442" t="s">
        <v>1377</v>
      </c>
      <c r="G205" s="448" t="s">
        <v>1378</v>
      </c>
      <c r="H205" s="442" t="s">
        <v>1379</v>
      </c>
      <c r="I205" s="442" t="s">
        <v>3227</v>
      </c>
    </row>
    <row r="206" spans="4:9" ht="28.5" customHeight="1">
      <c r="D206" s="441" t="str">
        <f t="shared" si="4"/>
        <v>Werte ►
Berührungsgruppe ▼</v>
      </c>
      <c r="E206" s="478" t="s">
        <v>1380</v>
      </c>
      <c r="F206" s="478" t="s">
        <v>1381</v>
      </c>
      <c r="G206" s="478" t="s">
        <v>1382</v>
      </c>
      <c r="H206" s="442" t="s">
        <v>1383</v>
      </c>
      <c r="I206" s="442" t="s">
        <v>3351</v>
      </c>
    </row>
    <row r="207" spans="4:9" ht="15.75" customHeight="1">
      <c r="D207" s="441" t="str">
        <f t="shared" si="4"/>
        <v>Berührungsgruppen &amp; Werte</v>
      </c>
      <c r="E207" s="442" t="s">
        <v>1384</v>
      </c>
      <c r="F207" s="478" t="s">
        <v>1385</v>
      </c>
      <c r="G207" s="479" t="s">
        <v>1386</v>
      </c>
      <c r="H207" s="442" t="s">
        <v>1387</v>
      </c>
      <c r="I207" s="442" t="s">
        <v>3228</v>
      </c>
    </row>
    <row r="208" spans="4:9" ht="15.75" customHeight="1">
      <c r="D208" s="441" t="str">
        <f t="shared" si="4"/>
        <v>Allgemein</v>
      </c>
      <c r="E208" s="442" t="s">
        <v>1388</v>
      </c>
      <c r="F208" s="442" t="s">
        <v>1389</v>
      </c>
      <c r="G208" s="448" t="s">
        <v>1390</v>
      </c>
      <c r="H208" s="442" t="s">
        <v>1390</v>
      </c>
      <c r="I208" s="442" t="s">
        <v>3229</v>
      </c>
    </row>
    <row r="209" spans="4:9" ht="15.75" customHeight="1">
      <c r="D209" s="441" t="str">
        <f t="shared" si="4"/>
        <v>Anmerkungen</v>
      </c>
      <c r="E209" s="442" t="s">
        <v>1391</v>
      </c>
      <c r="F209" s="442" t="s">
        <v>1392</v>
      </c>
      <c r="G209" s="448" t="s">
        <v>1393</v>
      </c>
      <c r="H209" s="442" t="s">
        <v>1394</v>
      </c>
      <c r="I209" s="442" t="s">
        <v>1393</v>
      </c>
    </row>
    <row r="210" spans="4:9" ht="15.75" customHeight="1">
      <c r="D210" s="441" t="str">
        <f t="shared" si="4"/>
        <v xml:space="preserve"> (für EPUs skaliert)</v>
      </c>
      <c r="E210" s="442" t="s">
        <v>1395</v>
      </c>
      <c r="F210" s="442" t="s">
        <v>1396</v>
      </c>
      <c r="G210" s="448" t="s">
        <v>1397</v>
      </c>
      <c r="H210" s="442" t="s">
        <v>1398</v>
      </c>
      <c r="I210" s="442" t="s">
        <v>3230</v>
      </c>
    </row>
    <row r="211" spans="4:9" ht="15.75" customHeight="1">
      <c r="D211" s="441" t="str">
        <f t="shared" si="4"/>
        <v xml:space="preserve"> (für EPUs nicht relevant)</v>
      </c>
      <c r="E211" s="442" t="s">
        <v>1399</v>
      </c>
      <c r="F211" s="442" t="s">
        <v>1400</v>
      </c>
      <c r="G211" s="448" t="s">
        <v>1401</v>
      </c>
      <c r="H211" s="442" t="s">
        <v>1402</v>
      </c>
      <c r="I211" s="442" t="s">
        <v>3231</v>
      </c>
    </row>
    <row r="212" spans="4:9" ht="15.75" customHeight="1">
      <c r="D212" s="441" t="str">
        <f t="shared" si="4"/>
        <v>Anmerkung: Dies ist kein Testat.</v>
      </c>
      <c r="E212" s="442" t="s">
        <v>1403</v>
      </c>
      <c r="F212" s="442" t="s">
        <v>1404</v>
      </c>
      <c r="G212" s="448" t="s">
        <v>3063</v>
      </c>
      <c r="H212" s="442" t="s">
        <v>3062</v>
      </c>
      <c r="I212" s="442" t="s">
        <v>3232</v>
      </c>
    </row>
    <row r="213" spans="4:9" ht="15.75" customHeight="1">
      <c r="D213" s="441" t="str">
        <f t="shared" si="4"/>
        <v>GEMEINWOHL-MATRIX</v>
      </c>
      <c r="E213" s="442" t="s">
        <v>1405</v>
      </c>
      <c r="F213" s="442" t="s">
        <v>1406</v>
      </c>
      <c r="G213" s="448" t="s">
        <v>1407</v>
      </c>
      <c r="H213" s="442" t="s">
        <v>1408</v>
      </c>
      <c r="I213" s="442" t="s">
        <v>3352</v>
      </c>
    </row>
    <row r="214" spans="4:9" ht="15.75" customHeight="1">
      <c r="D214" s="441" t="str">
        <f t="shared" si="4"/>
        <v xml:space="preserve"> von </v>
      </c>
      <c r="E214" s="442" t="s">
        <v>1409</v>
      </c>
      <c r="F214" s="442" t="s">
        <v>1410</v>
      </c>
      <c r="G214" s="448" t="s">
        <v>1411</v>
      </c>
      <c r="H214" s="442" t="s">
        <v>1412</v>
      </c>
      <c r="I214" s="442" t="s">
        <v>1412</v>
      </c>
    </row>
    <row r="215" spans="4:9" ht="15.75" customHeight="1">
      <c r="D215" s="441" t="str">
        <f t="shared" si="4"/>
        <v xml:space="preserve"> Punkten</v>
      </c>
      <c r="E215" s="442" t="s">
        <v>1413</v>
      </c>
      <c r="F215" s="442" t="s">
        <v>1414</v>
      </c>
      <c r="G215" s="448" t="s">
        <v>1415</v>
      </c>
      <c r="H215" s="442" t="s">
        <v>3042</v>
      </c>
      <c r="I215" s="442" t="s">
        <v>3233</v>
      </c>
    </row>
    <row r="216" spans="4:9" ht="15.75" customHeight="1">
      <c r="D216" s="441" t="str">
        <f t="shared" si="4"/>
        <v>Menschenwürde</v>
      </c>
      <c r="E216" s="442" t="s">
        <v>1416</v>
      </c>
      <c r="F216" s="442" t="s">
        <v>1417</v>
      </c>
      <c r="G216" s="448" t="s">
        <v>1418</v>
      </c>
      <c r="H216" s="442" t="s">
        <v>1419</v>
      </c>
      <c r="I216" s="442" t="s">
        <v>3234</v>
      </c>
    </row>
    <row r="217" spans="4:9" ht="15.75" customHeight="1">
      <c r="D217" s="441" t="str">
        <f t="shared" si="4"/>
        <v>Solidarität &amp; Gerechtigkeit</v>
      </c>
      <c r="E217" s="442" t="s">
        <v>1420</v>
      </c>
      <c r="F217" s="442" t="s">
        <v>1421</v>
      </c>
      <c r="G217" s="448" t="s">
        <v>1422</v>
      </c>
      <c r="H217" s="442" t="s">
        <v>1423</v>
      </c>
      <c r="I217" s="442" t="s">
        <v>3235</v>
      </c>
    </row>
    <row r="218" spans="4:9" ht="15.75" customHeight="1">
      <c r="D218" s="441" t="str">
        <f t="shared" si="4"/>
        <v>Ökologische Nachhaltigkeit</v>
      </c>
      <c r="E218" s="442" t="s">
        <v>1424</v>
      </c>
      <c r="F218" s="442" t="s">
        <v>1425</v>
      </c>
      <c r="G218" s="448" t="s">
        <v>1426</v>
      </c>
      <c r="H218" s="442" t="s">
        <v>1427</v>
      </c>
      <c r="I218" s="442" t="s">
        <v>3236</v>
      </c>
    </row>
    <row r="219" spans="4:9" ht="15.75" customHeight="1">
      <c r="D219" s="441" t="str">
        <f t="shared" si="4"/>
        <v>Transparenz &amp; Mitentscheidung</v>
      </c>
      <c r="E219" s="442" t="s">
        <v>1428</v>
      </c>
      <c r="F219" s="442" t="s">
        <v>1429</v>
      </c>
      <c r="G219" s="448" t="s">
        <v>1430</v>
      </c>
      <c r="H219" s="442" t="s">
        <v>1431</v>
      </c>
      <c r="I219" s="442" t="s">
        <v>3237</v>
      </c>
    </row>
    <row r="220" spans="4:9" ht="15.75" customHeight="1">
      <c r="D220" s="441" t="str">
        <f t="shared" si="4"/>
        <v>Gemeinwohl-Stern für</v>
      </c>
      <c r="E220" s="442" t="s">
        <v>1432</v>
      </c>
      <c r="F220" s="442" t="s">
        <v>1433</v>
      </c>
      <c r="G220" s="448" t="s">
        <v>1434</v>
      </c>
      <c r="H220" s="442" t="s">
        <v>1435</v>
      </c>
      <c r="I220" s="442" t="s">
        <v>3353</v>
      </c>
    </row>
    <row r="221" spans="4:9" ht="15.75" customHeight="1">
      <c r="D221" s="441" t="str">
        <f t="shared" si="4"/>
        <v>BILANZ-ÜBERSICHT</v>
      </c>
      <c r="E221" s="442" t="s">
        <v>1436</v>
      </c>
      <c r="F221" s="442" t="s">
        <v>1437</v>
      </c>
      <c r="G221" s="448" t="s">
        <v>1438</v>
      </c>
      <c r="H221" s="442" t="s">
        <v>1439</v>
      </c>
      <c r="I221" s="442" t="s">
        <v>3238</v>
      </c>
    </row>
    <row r="222" spans="4:9" ht="15.75" customHeight="1">
      <c r="D222" s="441" t="str">
        <f t="shared" si="4"/>
        <v>MITBESTIMMUNG UND TRANSPARENZ</v>
      </c>
      <c r="E222" s="442" t="s">
        <v>1440</v>
      </c>
      <c r="F222" s="442" t="s">
        <v>1441</v>
      </c>
      <c r="G222" s="448" t="s">
        <v>1442</v>
      </c>
      <c r="H222" s="442" t="s">
        <v>1443</v>
      </c>
      <c r="I222" s="442" t="s">
        <v>3239</v>
      </c>
    </row>
    <row r="223" spans="4:9" ht="15.75" customHeight="1">
      <c r="D223" s="441" t="str">
        <f t="shared" si="4"/>
        <v>MENSCHENWÜRDE</v>
      </c>
      <c r="E223" s="442" t="s">
        <v>1444</v>
      </c>
      <c r="F223" s="442" t="s">
        <v>1445</v>
      </c>
      <c r="G223" s="448" t="s">
        <v>1446</v>
      </c>
      <c r="H223" s="442" t="s">
        <v>1447</v>
      </c>
      <c r="I223" s="442" t="s">
        <v>3240</v>
      </c>
    </row>
    <row r="224" spans="4:9" ht="15.75" customHeight="1">
      <c r="D224" s="441" t="str">
        <f t="shared" si="4"/>
        <v>SOLIDARITÄT</v>
      </c>
      <c r="E224" s="442" t="s">
        <v>1448</v>
      </c>
      <c r="F224" s="442" t="s">
        <v>1449</v>
      </c>
      <c r="G224" s="448" t="s">
        <v>1450</v>
      </c>
      <c r="H224" s="442" t="s">
        <v>1451</v>
      </c>
      <c r="I224" s="442" t="s">
        <v>3241</v>
      </c>
    </row>
    <row r="225" spans="3:9" ht="15.75" customHeight="1">
      <c r="D225" s="441" t="str">
        <f t="shared" si="4"/>
        <v>ÖKOLOGISCHE NACHHALTIGKEIT</v>
      </c>
      <c r="E225" s="442" t="s">
        <v>1452</v>
      </c>
      <c r="F225" s="442" t="s">
        <v>1453</v>
      </c>
      <c r="G225" s="448" t="s">
        <v>1454</v>
      </c>
      <c r="H225" s="442" t="s">
        <v>1455</v>
      </c>
      <c r="I225" s="442" t="s">
        <v>3242</v>
      </c>
    </row>
    <row r="226" spans="3:9" ht="15.75" customHeight="1">
      <c r="D226" s="441" t="str">
        <f t="shared" si="4"/>
        <v>SOZIALE GERECHTIGKEIT</v>
      </c>
      <c r="E226" s="442" t="s">
        <v>1456</v>
      </c>
      <c r="F226" s="442" t="s">
        <v>1457</v>
      </c>
      <c r="G226" s="448" t="s">
        <v>1458</v>
      </c>
      <c r="H226" s="442" t="s">
        <v>1459</v>
      </c>
      <c r="I226" s="442" t="s">
        <v>3243</v>
      </c>
    </row>
    <row r="227" spans="3:9" ht="15.75" customHeight="1">
      <c r="D227" s="441" t="str">
        <f t="shared" si="4"/>
        <v>MITBESTIMMUNG UND TRANSPARENZ</v>
      </c>
      <c r="E227" s="442" t="s">
        <v>1440</v>
      </c>
      <c r="F227" s="442" t="s">
        <v>1441</v>
      </c>
      <c r="G227" s="448" t="s">
        <v>1442</v>
      </c>
      <c r="H227" s="442" t="s">
        <v>1443</v>
      </c>
      <c r="I227" s="442" t="s">
        <v>3239</v>
      </c>
    </row>
    <row r="228" spans="3:9" ht="15.75" customHeight="1">
      <c r="D228" s="441" t="str">
        <f t="shared" si="4"/>
        <v>SUMME</v>
      </c>
      <c r="E228" s="442" t="s">
        <v>1460</v>
      </c>
      <c r="F228" s="442" t="s">
        <v>1461</v>
      </c>
      <c r="G228" s="448" t="s">
        <v>1462</v>
      </c>
      <c r="H228" s="442" t="s">
        <v>1462</v>
      </c>
      <c r="I228" s="442" t="s">
        <v>1462</v>
      </c>
    </row>
    <row r="229" spans="3:9" ht="15.75" customHeight="1">
      <c r="D229" s="441" t="str">
        <f t="shared" si="4"/>
        <v>(für EPUs skaliert)</v>
      </c>
      <c r="E229" s="442" t="s">
        <v>1463</v>
      </c>
      <c r="F229" s="442" t="s">
        <v>1464</v>
      </c>
      <c r="G229" s="448" t="s">
        <v>1465</v>
      </c>
      <c r="H229" s="442" t="s">
        <v>1398</v>
      </c>
      <c r="I229" s="442" t="s">
        <v>3230</v>
      </c>
    </row>
    <row r="230" spans="3:9" ht="15.75" customHeight="1">
      <c r="D230" s="441" t="str">
        <f t="shared" si="4"/>
        <v>Dokumentation der Bewertung</v>
      </c>
      <c r="E230" s="442" t="s">
        <v>1466</v>
      </c>
      <c r="F230" s="442" t="s">
        <v>1467</v>
      </c>
      <c r="G230" s="448" t="s">
        <v>1468</v>
      </c>
      <c r="H230" s="442" t="s">
        <v>1469</v>
      </c>
      <c r="I230" s="442" t="s">
        <v>3244</v>
      </c>
    </row>
    <row r="231" spans="3:9" ht="15.75" customHeight="1">
      <c r="D231" s="441" t="str">
        <f t="shared" ref="D231:D294" si="5">HLOOKUP($C$1,$E$1:$V$4910,ROW(D231))</f>
        <v>Selbsteinschätzung</v>
      </c>
      <c r="E231" s="442" t="s">
        <v>1470</v>
      </c>
      <c r="F231" s="442" t="s">
        <v>1471</v>
      </c>
      <c r="G231" s="448" t="s">
        <v>1472</v>
      </c>
      <c r="H231" s="442" t="s">
        <v>1473</v>
      </c>
      <c r="I231" s="442" t="s">
        <v>3245</v>
      </c>
    </row>
    <row r="232" spans="3:9" ht="15.75" customHeight="1">
      <c r="D232" s="441" t="str">
        <f t="shared" si="5"/>
        <v>Peer-Evaluation</v>
      </c>
      <c r="E232" s="480" t="s">
        <v>1474</v>
      </c>
      <c r="F232" s="480" t="s">
        <v>1475</v>
      </c>
      <c r="G232" s="481" t="s">
        <v>1476</v>
      </c>
      <c r="H232" s="442" t="s">
        <v>1477</v>
      </c>
      <c r="I232" s="442" t="s">
        <v>3246</v>
      </c>
    </row>
    <row r="233" spans="3:9" ht="15.75" customHeight="1">
      <c r="D233" s="441" t="str">
        <f t="shared" si="5"/>
        <v>Provisorische Bewertung des externen Audits</v>
      </c>
      <c r="E233" s="480" t="s">
        <v>1478</v>
      </c>
      <c r="F233" s="480" t="s">
        <v>1479</v>
      </c>
      <c r="G233" s="481" t="s">
        <v>1480</v>
      </c>
      <c r="H233" s="442" t="s">
        <v>1481</v>
      </c>
      <c r="I233" s="442" t="s">
        <v>3247</v>
      </c>
    </row>
    <row r="234" spans="3:9" ht="15.75" customHeight="1">
      <c r="D234" s="441" t="str">
        <f t="shared" si="5"/>
        <v>Definitive Bewertung externen Audits /Peer</v>
      </c>
      <c r="E234" s="480" t="s">
        <v>1482</v>
      </c>
      <c r="F234" s="480" t="s">
        <v>1483</v>
      </c>
      <c r="G234" s="481" t="s">
        <v>1484</v>
      </c>
      <c r="H234" s="442" t="s">
        <v>1485</v>
      </c>
      <c r="I234" s="442" t="s">
        <v>3248</v>
      </c>
    </row>
    <row r="235" spans="3:9" ht="15.75" customHeight="1">
      <c r="D235" s="441" t="str">
        <f t="shared" si="5"/>
        <v>Passwort für den Schutz der Tabellen: „ebc“</v>
      </c>
      <c r="E235" s="442" t="s">
        <v>1486</v>
      </c>
      <c r="F235" s="442" t="s">
        <v>1487</v>
      </c>
      <c r="G235" s="448" t="s">
        <v>1488</v>
      </c>
      <c r="H235" s="442" t="s">
        <v>1489</v>
      </c>
      <c r="I235" s="442" t="s">
        <v>3249</v>
      </c>
    </row>
    <row r="236" spans="3:9" ht="15.75" customHeight="1">
      <c r="C236" s="461">
        <v>3</v>
      </c>
      <c r="D236" s="441" t="str">
        <f t="shared" si="5"/>
        <v>hoch</v>
      </c>
      <c r="E236" s="442" t="s">
        <v>150</v>
      </c>
      <c r="F236" s="442" t="s">
        <v>987</v>
      </c>
      <c r="G236" s="448" t="s">
        <v>988</v>
      </c>
      <c r="H236" s="442" t="s">
        <v>1490</v>
      </c>
      <c r="I236" s="442" t="s">
        <v>3129</v>
      </c>
    </row>
    <row r="237" spans="3:9" ht="15.75" customHeight="1">
      <c r="C237" s="461">
        <v>2</v>
      </c>
      <c r="D237" s="441" t="str">
        <f t="shared" si="5"/>
        <v>mittel</v>
      </c>
      <c r="E237" s="442" t="s">
        <v>149</v>
      </c>
      <c r="F237" s="442" t="s">
        <v>990</v>
      </c>
      <c r="G237" s="448" t="s">
        <v>991</v>
      </c>
      <c r="H237" s="442" t="s">
        <v>1491</v>
      </c>
      <c r="I237" s="442" t="s">
        <v>3130</v>
      </c>
    </row>
    <row r="238" spans="3:9" ht="15.75" customHeight="1">
      <c r="C238" s="461">
        <v>1</v>
      </c>
      <c r="D238" s="441" t="str">
        <f t="shared" si="5"/>
        <v>niedrig</v>
      </c>
      <c r="E238" s="442" t="s">
        <v>148</v>
      </c>
      <c r="F238" s="442" t="s">
        <v>993</v>
      </c>
      <c r="G238" s="448" t="s">
        <v>994</v>
      </c>
      <c r="H238" s="442" t="s">
        <v>1492</v>
      </c>
      <c r="I238" s="442" t="s">
        <v>3131</v>
      </c>
    </row>
    <row r="239" spans="3:9" ht="15.75" customHeight="1">
      <c r="C239" s="461">
        <v>0</v>
      </c>
      <c r="D239" s="441" t="str">
        <f t="shared" si="5"/>
        <v>trifft nicht zu</v>
      </c>
      <c r="E239" s="442" t="s">
        <v>147</v>
      </c>
      <c r="F239" s="442" t="s">
        <v>1493</v>
      </c>
      <c r="G239" s="448" t="s">
        <v>1494</v>
      </c>
      <c r="H239" s="442" t="s">
        <v>1495</v>
      </c>
      <c r="I239" s="442" t="s">
        <v>3132</v>
      </c>
    </row>
    <row r="240" spans="3:9" ht="15.75" customHeight="1">
      <c r="D240" s="441" t="str">
        <f t="shared" si="5"/>
        <v xml:space="preserve">Gewichtung geändert. Ursprünglich </v>
      </c>
      <c r="E240" s="457" t="s">
        <v>3031</v>
      </c>
      <c r="F240" s="457" t="s">
        <v>3032</v>
      </c>
      <c r="G240" s="458" t="s">
        <v>3033</v>
      </c>
      <c r="H240" s="457" t="s">
        <v>3034</v>
      </c>
      <c r="I240" s="442" t="s">
        <v>3250</v>
      </c>
    </row>
    <row r="241" spans="2:9" ht="15.75" customHeight="1">
      <c r="D241" s="441" t="str">
        <f t="shared" si="5"/>
        <v xml:space="preserve">Werte-Stern für </v>
      </c>
      <c r="E241" s="442" t="s">
        <v>1496</v>
      </c>
      <c r="F241" s="442" t="s">
        <v>1497</v>
      </c>
      <c r="G241" s="442" t="s">
        <v>1498</v>
      </c>
      <c r="H241" s="457" t="s">
        <v>1499</v>
      </c>
      <c r="I241" s="442" t="s">
        <v>3251</v>
      </c>
    </row>
    <row r="242" spans="2:9" ht="15.75" customHeight="1">
      <c r="D242" s="441" t="str">
        <f t="shared" si="5"/>
        <v xml:space="preserve">Gruppen-Stern für </v>
      </c>
      <c r="E242" s="442" t="s">
        <v>1500</v>
      </c>
      <c r="F242" s="442" t="s">
        <v>1501</v>
      </c>
      <c r="G242" s="442" t="s">
        <v>1502</v>
      </c>
      <c r="H242" s="442" t="s">
        <v>1503</v>
      </c>
      <c r="I242" s="442" t="s">
        <v>3252</v>
      </c>
    </row>
    <row r="243" spans="2:9" ht="15.75" customHeight="1">
      <c r="D243" s="441" t="str">
        <f t="shared" si="5"/>
        <v xml:space="preserve">Themen-Stern für </v>
      </c>
      <c r="E243" s="442" t="s">
        <v>1504</v>
      </c>
      <c r="F243" s="442" t="s">
        <v>1505</v>
      </c>
      <c r="G243" s="442" t="s">
        <v>1506</v>
      </c>
      <c r="H243" s="442" t="s">
        <v>1507</v>
      </c>
      <c r="I243" s="442" t="s">
        <v>3253</v>
      </c>
    </row>
    <row r="244" spans="2:9" ht="357.6" customHeight="1">
      <c r="B244" s="482" t="str">
        <f>D208</f>
        <v>Allgemein</v>
      </c>
      <c r="D244" s="441" t="str">
        <f t="shared" si="5"/>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E244" s="483" t="s">
        <v>1508</v>
      </c>
      <c r="F244" s="442" t="s">
        <v>1509</v>
      </c>
      <c r="G244" s="448" t="s">
        <v>1510</v>
      </c>
      <c r="H244" s="442" t="s">
        <v>1511</v>
      </c>
      <c r="I244" s="442" t="s">
        <v>3254</v>
      </c>
    </row>
    <row r="245" spans="2:9" ht="227.85" customHeight="1">
      <c r="B245" s="482" t="s">
        <v>1384</v>
      </c>
      <c r="D245" s="441" t="str">
        <f t="shared" si="5"/>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E245" s="483" t="s">
        <v>1512</v>
      </c>
      <c r="F245" s="442" t="s">
        <v>1513</v>
      </c>
      <c r="G245" s="448" t="s">
        <v>1514</v>
      </c>
      <c r="H245" s="442" t="s">
        <v>1515</v>
      </c>
      <c r="I245" s="442" t="s">
        <v>3255</v>
      </c>
    </row>
    <row r="246" spans="2:9" ht="161.25" customHeight="1">
      <c r="B246" s="484" t="s">
        <v>1376</v>
      </c>
      <c r="D246" s="441" t="str">
        <f t="shared" si="5"/>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E246" s="485" t="s">
        <v>1516</v>
      </c>
      <c r="F246" s="442" t="s">
        <v>1517</v>
      </c>
      <c r="G246" s="448" t="s">
        <v>1518</v>
      </c>
      <c r="H246" s="442" t="s">
        <v>1519</v>
      </c>
      <c r="I246" s="442" t="s">
        <v>3256</v>
      </c>
    </row>
    <row r="247" spans="2:9" ht="28.5" customHeight="1">
      <c r="B247" s="486" t="s">
        <v>13</v>
      </c>
      <c r="D247" s="441" t="str">
        <f t="shared" si="5"/>
        <v>Die Gewichtung dieses Thema’s ist abhängig von den sozialen Risiken der Zulieferbranchen</v>
      </c>
      <c r="E247" s="487" t="s">
        <v>1520</v>
      </c>
      <c r="F247" s="442" t="s">
        <v>1521</v>
      </c>
      <c r="G247" s="448" t="s">
        <v>1522</v>
      </c>
      <c r="H247" s="442" t="s">
        <v>1523</v>
      </c>
      <c r="I247" s="442" t="s">
        <v>3257</v>
      </c>
    </row>
    <row r="248" spans="2:9" ht="15.75" customHeight="1">
      <c r="B248" s="488" t="s">
        <v>16</v>
      </c>
      <c r="D248" s="441" t="str">
        <f t="shared" si="5"/>
        <v>-</v>
      </c>
      <c r="E248" s="489" t="s">
        <v>153</v>
      </c>
      <c r="F248" s="490" t="s">
        <v>153</v>
      </c>
      <c r="G248" s="490" t="s">
        <v>153</v>
      </c>
      <c r="H248" s="442" t="s">
        <v>153</v>
      </c>
      <c r="I248" s="442"/>
    </row>
    <row r="249" spans="2:9" ht="54.75" customHeight="1">
      <c r="B249" s="491" t="s">
        <v>20</v>
      </c>
      <c r="D249" s="441" t="str">
        <f t="shared" si="5"/>
        <v>Die Gewichtung dieses Thema’s ist abhängig vom ökologischen Effekt der Branche des Lieferanten (siehe Tabellenblatt “Industry”)</v>
      </c>
      <c r="E249" s="489" t="s">
        <v>1524</v>
      </c>
      <c r="F249" s="442" t="s">
        <v>1525</v>
      </c>
      <c r="G249" s="448" t="s">
        <v>1526</v>
      </c>
      <c r="H249" s="442" t="s">
        <v>1527</v>
      </c>
      <c r="I249" s="442" t="s">
        <v>3258</v>
      </c>
    </row>
    <row r="250" spans="2:9" ht="68.25" customHeight="1">
      <c r="B250" s="491" t="s">
        <v>23</v>
      </c>
      <c r="D250" s="441" t="str">
        <f t="shared" si="5"/>
        <v>Die Gewichtung dieses Thema’s ist abhängig von den Mitbestimmungsrechte in den Ländern der wichtigsten Zulieferbranchen (basierend auf dem ITUC-Index der International Trade Union Confederation)</v>
      </c>
      <c r="E250" s="492" t="s">
        <v>1528</v>
      </c>
      <c r="F250" s="442" t="s">
        <v>1529</v>
      </c>
      <c r="G250" s="448" t="s">
        <v>1530</v>
      </c>
      <c r="H250" s="442" t="s">
        <v>1531</v>
      </c>
      <c r="I250" s="442" t="s">
        <v>3259</v>
      </c>
    </row>
    <row r="251" spans="2:9" ht="28.5" customHeight="1">
      <c r="B251" s="491" t="s">
        <v>27</v>
      </c>
      <c r="D251" s="441" t="str">
        <f t="shared" si="5"/>
        <v>Die Gewichtung dieses Thema’s ist abhängig von der Relation Umsatz zu Bilanzsumme</v>
      </c>
      <c r="E251" s="489" t="s">
        <v>1532</v>
      </c>
      <c r="F251" s="442" t="s">
        <v>1533</v>
      </c>
      <c r="G251" s="448" t="s">
        <v>1534</v>
      </c>
      <c r="H251" s="442" t="s">
        <v>1535</v>
      </c>
      <c r="I251" s="442" t="s">
        <v>3260</v>
      </c>
    </row>
    <row r="252" spans="2:9" ht="42.75" customHeight="1">
      <c r="B252" s="491" t="s">
        <v>31</v>
      </c>
      <c r="D252" s="441" t="str">
        <f t="shared" si="5"/>
        <v xml:space="preserve">Die Gewichtung dieses Thema’s ist abhängig von der Relation Gewinn zu Umsatz </v>
      </c>
      <c r="E252" s="489" t="s">
        <v>1536</v>
      </c>
      <c r="F252" s="442" t="s">
        <v>1537</v>
      </c>
      <c r="G252" s="448" t="s">
        <v>1538</v>
      </c>
      <c r="H252" s="442" t="s">
        <v>1539</v>
      </c>
      <c r="I252" s="442" t="s">
        <v>3261</v>
      </c>
    </row>
    <row r="253" spans="2:9" ht="51" customHeight="1">
      <c r="B253" s="491" t="s">
        <v>34</v>
      </c>
      <c r="D253" s="441" t="str">
        <f t="shared" si="5"/>
        <v>Die Gewichtung dieses Thema’s ist abhängig  Zugängen zum Anlagevermögen und Finanzvermögen in Relation zu der Bilanzsumme</v>
      </c>
      <c r="E253" s="489" t="s">
        <v>1540</v>
      </c>
      <c r="F253" s="442" t="s">
        <v>1541</v>
      </c>
      <c r="G253" s="448" t="s">
        <v>1542</v>
      </c>
      <c r="H253" s="442" t="s">
        <v>1543</v>
      </c>
      <c r="I253" s="442" t="s">
        <v>3262</v>
      </c>
    </row>
    <row r="254" spans="2:9" ht="28.5" customHeight="1">
      <c r="B254" s="491" t="s">
        <v>38</v>
      </c>
      <c r="D254" s="441" t="str">
        <f t="shared" si="5"/>
        <v>Die Gewichtung dieses Thema’s ist abhängig von der Größe des Unternehmens</v>
      </c>
      <c r="E254" s="489" t="s">
        <v>1544</v>
      </c>
      <c r="F254" s="442" t="s">
        <v>1545</v>
      </c>
      <c r="G254" s="448" t="s">
        <v>1546</v>
      </c>
      <c r="H254" s="442" t="s">
        <v>1547</v>
      </c>
      <c r="I254" s="442" t="s">
        <v>3263</v>
      </c>
    </row>
    <row r="255" spans="2:9" ht="15.75" customHeight="1">
      <c r="B255" s="491" t="s">
        <v>42</v>
      </c>
      <c r="D255" s="441" t="str">
        <f t="shared" si="5"/>
        <v>-</v>
      </c>
      <c r="E255" s="493" t="s">
        <v>153</v>
      </c>
      <c r="F255" s="494" t="s">
        <v>153</v>
      </c>
      <c r="G255" s="494" t="s">
        <v>153</v>
      </c>
      <c r="H255" s="442" t="s">
        <v>153</v>
      </c>
      <c r="I255" s="442"/>
    </row>
    <row r="256" spans="2:9" ht="15.75" customHeight="1">
      <c r="B256" s="491" t="s">
        <v>47</v>
      </c>
      <c r="D256" s="441" t="str">
        <f t="shared" si="5"/>
        <v>-</v>
      </c>
      <c r="E256" s="489" t="s">
        <v>153</v>
      </c>
      <c r="F256" s="490" t="s">
        <v>153</v>
      </c>
      <c r="G256" s="490" t="s">
        <v>153</v>
      </c>
      <c r="H256" s="442" t="s">
        <v>153</v>
      </c>
      <c r="I256" s="442"/>
    </row>
    <row r="257" spans="2:9" ht="54.75" customHeight="1">
      <c r="B257" s="491" t="s">
        <v>52</v>
      </c>
      <c r="D257" s="441" t="str">
        <f t="shared" si="5"/>
        <v>Die Gewichtung dieses Thema’s ist abhängig von der Existenz einer Kantine für die Mehrheit der Mitarbeiter*innen sowie dem (geschätzten) durchschnittlichen Anfahrtsweg zur Arbeit.</v>
      </c>
      <c r="E257" s="489" t="s">
        <v>1548</v>
      </c>
      <c r="F257" s="442" t="s">
        <v>1549</v>
      </c>
      <c r="G257" s="448" t="s">
        <v>1550</v>
      </c>
      <c r="H257" s="442" t="s">
        <v>1551</v>
      </c>
      <c r="I257" s="442" t="s">
        <v>3264</v>
      </c>
    </row>
    <row r="258" spans="2:9" ht="81.599999999999994" customHeight="1">
      <c r="B258" s="491" t="s">
        <v>57</v>
      </c>
      <c r="D258" s="441" t="str">
        <f t="shared" si="5"/>
        <v>Die Gewichtung dieses Thema’s ist abhängig von der Größe des Unternehmens sowie von den Mitbestimmungsrechte in den Ländern der wichtigsten Standorte (basierend auf dem ITUC-Index der International Labour Union)</v>
      </c>
      <c r="E258" s="492" t="s">
        <v>1552</v>
      </c>
      <c r="F258" s="442" t="s">
        <v>1553</v>
      </c>
      <c r="G258" s="448" t="s">
        <v>1554</v>
      </c>
      <c r="H258" s="442" t="s">
        <v>1555</v>
      </c>
      <c r="I258" s="442" t="s">
        <v>3265</v>
      </c>
    </row>
    <row r="259" spans="2:9" ht="15.75" customHeight="1">
      <c r="B259" s="491" t="s">
        <v>63</v>
      </c>
      <c r="D259" s="441" t="str">
        <f t="shared" si="5"/>
        <v>-</v>
      </c>
      <c r="E259" s="489" t="s">
        <v>153</v>
      </c>
      <c r="F259" s="489" t="s">
        <v>153</v>
      </c>
      <c r="G259" s="489" t="s">
        <v>153</v>
      </c>
      <c r="H259" s="442" t="s">
        <v>153</v>
      </c>
      <c r="I259" s="442"/>
    </row>
    <row r="260" spans="2:9" ht="15.75" customHeight="1">
      <c r="B260" s="491" t="s">
        <v>67</v>
      </c>
      <c r="D260" s="441" t="str">
        <f t="shared" si="5"/>
        <v>-</v>
      </c>
      <c r="E260" s="489" t="s">
        <v>153</v>
      </c>
      <c r="F260" s="490" t="s">
        <v>153</v>
      </c>
      <c r="G260" s="490" t="s">
        <v>153</v>
      </c>
      <c r="H260" s="442" t="s">
        <v>153</v>
      </c>
      <c r="I260" s="442"/>
    </row>
    <row r="261" spans="2:9" ht="28.5" customHeight="1">
      <c r="B261" s="491" t="s">
        <v>71</v>
      </c>
      <c r="D261" s="441" t="str">
        <f t="shared" si="5"/>
        <v xml:space="preserve">Die Gewichtung dieses Thema’s ist abhängig von der Branche </v>
      </c>
      <c r="E261" s="489" t="s">
        <v>1556</v>
      </c>
      <c r="F261" s="442" t="s">
        <v>1557</v>
      </c>
      <c r="G261" s="448" t="s">
        <v>1558</v>
      </c>
      <c r="H261" s="442" t="s">
        <v>1559</v>
      </c>
      <c r="I261" s="442" t="s">
        <v>3266</v>
      </c>
    </row>
    <row r="262" spans="2:9" ht="41.85" customHeight="1">
      <c r="B262" s="491" t="s">
        <v>75</v>
      </c>
      <c r="D262" s="441" t="str">
        <f t="shared" si="5"/>
        <v>Die Gewichtung dieses Thema’s ist abhängig davon, ob Kund*innen in erster Linie Private oder Unternehmen sind</v>
      </c>
      <c r="E262" s="489" t="s">
        <v>1560</v>
      </c>
      <c r="F262" s="442" t="s">
        <v>1561</v>
      </c>
      <c r="G262" s="448" t="s">
        <v>1562</v>
      </c>
      <c r="H262" s="442" t="s">
        <v>1563</v>
      </c>
      <c r="I262" s="442" t="s">
        <v>3267</v>
      </c>
    </row>
    <row r="263" spans="2:9" ht="15.75" customHeight="1">
      <c r="B263" s="491" t="s">
        <v>79</v>
      </c>
      <c r="D263" s="441" t="str">
        <f t="shared" si="5"/>
        <v>-</v>
      </c>
      <c r="E263" s="489" t="s">
        <v>153</v>
      </c>
      <c r="F263" s="490" t="s">
        <v>153</v>
      </c>
      <c r="G263" s="490" t="s">
        <v>153</v>
      </c>
      <c r="H263" s="442" t="s">
        <v>153</v>
      </c>
      <c r="I263" s="442"/>
    </row>
    <row r="264" spans="2:9" ht="41.85" customHeight="1">
      <c r="B264" s="491" t="s">
        <v>83</v>
      </c>
      <c r="D264" s="441" t="str">
        <f t="shared" si="5"/>
        <v>Die Gewichtung dieses Thema’s ist abhängig von der Umsatzrentabilität (Gewinn/Umsatz)</v>
      </c>
      <c r="E264" s="489" t="s">
        <v>1564</v>
      </c>
      <c r="F264" s="442" t="s">
        <v>1565</v>
      </c>
      <c r="G264" s="448" t="s">
        <v>1566</v>
      </c>
      <c r="H264" s="442" t="s">
        <v>1567</v>
      </c>
      <c r="I264" s="442" t="s">
        <v>3268</v>
      </c>
    </row>
    <row r="265" spans="2:9" ht="28.5" customHeight="1">
      <c r="B265" s="491" t="s">
        <v>88</v>
      </c>
      <c r="D265" s="441" t="str">
        <f t="shared" si="5"/>
        <v>Die Gewichtung dieses Thenma’s ist abhängig von der Branche</v>
      </c>
      <c r="E265" s="489" t="s">
        <v>1568</v>
      </c>
      <c r="F265" s="442" t="s">
        <v>1557</v>
      </c>
      <c r="G265" s="448" t="s">
        <v>1558</v>
      </c>
      <c r="H265" s="442" t="s">
        <v>1559</v>
      </c>
      <c r="I265" s="442" t="s">
        <v>3266</v>
      </c>
    </row>
    <row r="266" spans="2:9" ht="41.85" customHeight="1">
      <c r="B266" s="495" t="s">
        <v>92</v>
      </c>
      <c r="D266" s="441" t="str">
        <f t="shared" si="5"/>
        <v>Die Gewichtung dieses Thema’s ist abhängig von der Größe sowie der Branche des Unternehmens.</v>
      </c>
      <c r="E266" s="496" t="s">
        <v>1569</v>
      </c>
      <c r="F266" s="442" t="s">
        <v>1570</v>
      </c>
      <c r="G266" s="448" t="s">
        <v>1571</v>
      </c>
      <c r="H266" s="442" t="s">
        <v>1572</v>
      </c>
      <c r="I266" s="442" t="s">
        <v>3269</v>
      </c>
    </row>
    <row r="267" spans="2:9" ht="15.75" customHeight="1">
      <c r="D267" s="441">
        <f t="shared" si="5"/>
        <v>0</v>
      </c>
      <c r="E267" s="442"/>
      <c r="G267" s="442"/>
      <c r="H267" s="442"/>
      <c r="I267" s="442"/>
    </row>
    <row r="268" spans="2:9" ht="28.5" customHeight="1">
      <c r="D268" s="441" t="str">
        <f t="shared" si="5"/>
        <v>A - Landwirtschaft, Forstwirtschaft und Fischerei</v>
      </c>
      <c r="E268" s="442" t="s">
        <v>1573</v>
      </c>
      <c r="F268" s="442" t="s">
        <v>1574</v>
      </c>
      <c r="G268" s="448" t="s">
        <v>1575</v>
      </c>
      <c r="H268" s="442" t="s">
        <v>1576</v>
      </c>
      <c r="I268" s="442" t="s">
        <v>3270</v>
      </c>
    </row>
    <row r="269" spans="2:9" ht="28.5" customHeight="1">
      <c r="D269" s="441" t="str">
        <f t="shared" si="5"/>
        <v>B - Bergbau und Gewinnung von Steinen und Erden</v>
      </c>
      <c r="E269" s="442" t="s">
        <v>1577</v>
      </c>
      <c r="F269" s="442" t="s">
        <v>1578</v>
      </c>
      <c r="G269" s="448" t="s">
        <v>1579</v>
      </c>
      <c r="H269" s="442" t="s">
        <v>1580</v>
      </c>
      <c r="I269" s="442" t="s">
        <v>3271</v>
      </c>
    </row>
    <row r="270" spans="2:9" ht="28.5" customHeight="1">
      <c r="D270" s="441" t="str">
        <f t="shared" si="5"/>
        <v>C - Verarbeitendes Gewerbe (nicht weiter spezifiziert)</v>
      </c>
      <c r="E270" s="442" t="s">
        <v>1581</v>
      </c>
      <c r="F270" s="442" t="s">
        <v>1582</v>
      </c>
      <c r="G270" s="448" t="s">
        <v>1583</v>
      </c>
      <c r="H270" s="442" t="s">
        <v>1584</v>
      </c>
      <c r="I270" s="442" t="s">
        <v>3272</v>
      </c>
    </row>
    <row r="271" spans="2:9" ht="28.5" customHeight="1">
      <c r="D271" s="441" t="str">
        <f t="shared" si="5"/>
        <v>Ca - Produktion von Lebensmittel, Getränken und Tabak (C10,C11,C12)</v>
      </c>
      <c r="E271" s="442" t="s">
        <v>1585</v>
      </c>
      <c r="F271" s="442" t="s">
        <v>1586</v>
      </c>
      <c r="G271" s="448" t="s">
        <v>1587</v>
      </c>
      <c r="H271" s="442" t="s">
        <v>1588</v>
      </c>
      <c r="I271" s="442" t="s">
        <v>3273</v>
      </c>
    </row>
    <row r="272" spans="2:9" ht="28.5" customHeight="1">
      <c r="D272" s="441" t="str">
        <f t="shared" si="5"/>
        <v>Cb - Produktion von Textilien, Kleidung, Leder und Produkten hieraus (C13,C14,C15)</v>
      </c>
      <c r="E272" s="442" t="s">
        <v>1589</v>
      </c>
      <c r="F272" s="442" t="s">
        <v>1590</v>
      </c>
      <c r="G272" s="448" t="s">
        <v>1591</v>
      </c>
      <c r="H272" s="442" t="s">
        <v>1592</v>
      </c>
      <c r="I272" s="442" t="s">
        <v>3274</v>
      </c>
    </row>
    <row r="273" spans="4:9" ht="41.85" customHeight="1">
      <c r="D273" s="441" t="str">
        <f t="shared" si="5"/>
        <v>Cc - Produktion von Holz- und Papierprodukten sowie Drucksorten (C16,C17,C18)</v>
      </c>
      <c r="E273" s="442" t="s">
        <v>1593</v>
      </c>
      <c r="F273" s="442" t="s">
        <v>1594</v>
      </c>
      <c r="G273" s="448" t="s">
        <v>1595</v>
      </c>
      <c r="H273" s="442" t="s">
        <v>1596</v>
      </c>
      <c r="I273" s="442" t="s">
        <v>3275</v>
      </c>
    </row>
    <row r="274" spans="4:9" ht="41.85" customHeight="1">
      <c r="D274" s="441" t="str">
        <f t="shared" si="5"/>
        <v>Cd - Produktion von petrochemischen Produkte und Kunststoffen (C19, C20;C22)</v>
      </c>
      <c r="E274" s="442" t="s">
        <v>1597</v>
      </c>
      <c r="F274" s="442" t="s">
        <v>1598</v>
      </c>
      <c r="G274" s="448" t="s">
        <v>1599</v>
      </c>
      <c r="H274" s="442" t="s">
        <v>1600</v>
      </c>
      <c r="I274" s="442" t="s">
        <v>3276</v>
      </c>
    </row>
    <row r="275" spans="4:9" ht="28.5" customHeight="1">
      <c r="D275" s="441" t="str">
        <f t="shared" si="5"/>
        <v>Ce - Produktion von pharmazeutischen Produktion und Präparaten (C21)</v>
      </c>
      <c r="E275" s="442" t="s">
        <v>1601</v>
      </c>
      <c r="F275" s="442" t="s">
        <v>1602</v>
      </c>
      <c r="G275" s="448" t="s">
        <v>1603</v>
      </c>
      <c r="H275" s="442" t="s">
        <v>1604</v>
      </c>
      <c r="I275" s="442" t="s">
        <v>3277</v>
      </c>
    </row>
    <row r="276" spans="4:9" ht="28.5" customHeight="1">
      <c r="D276" s="441" t="str">
        <f t="shared" si="5"/>
        <v>Cf - Produktion nicht metallischer Mineralstoffe (C23)</v>
      </c>
      <c r="E276" s="442" t="s">
        <v>1605</v>
      </c>
      <c r="F276" s="442" t="s">
        <v>1606</v>
      </c>
      <c r="G276" s="448" t="s">
        <v>1607</v>
      </c>
      <c r="H276" s="442" t="s">
        <v>1608</v>
      </c>
      <c r="I276" s="442" t="s">
        <v>3278</v>
      </c>
    </row>
    <row r="277" spans="4:9" ht="54.75" customHeight="1">
      <c r="D277" s="441" t="str">
        <f t="shared" si="5"/>
        <v>Cg - Produktion von Metallen und metallischen Produkten (exkl. Maschinen und Geräten) (C24,C25)</v>
      </c>
      <c r="E277" s="442" t="s">
        <v>1609</v>
      </c>
      <c r="F277" s="442" t="s">
        <v>1610</v>
      </c>
      <c r="G277" s="448" t="s">
        <v>1611</v>
      </c>
      <c r="H277" s="442" t="s">
        <v>1612</v>
      </c>
      <c r="I277" s="442" t="s">
        <v>3279</v>
      </c>
    </row>
    <row r="278" spans="4:9" ht="54.75" customHeight="1">
      <c r="D278" s="441" t="str">
        <f t="shared" si="5"/>
        <v>Ch - Produktion von elektronischen, optischen und sonstigen Geräten und Bauteilen sowie Computer (C26,C27,C28)</v>
      </c>
      <c r="E278" s="442" t="s">
        <v>1613</v>
      </c>
      <c r="F278" s="442" t="s">
        <v>1614</v>
      </c>
      <c r="G278" s="448" t="s">
        <v>1615</v>
      </c>
      <c r="H278" s="442" t="s">
        <v>1616</v>
      </c>
      <c r="I278" s="442" t="s">
        <v>3280</v>
      </c>
    </row>
    <row r="279" spans="4:9" ht="28.5" customHeight="1">
      <c r="D279" s="441" t="str">
        <f t="shared" si="5"/>
        <v xml:space="preserve">D - Strom-, Gas-, Dampfversorgung und Kühlung </v>
      </c>
      <c r="E279" s="442" t="s">
        <v>1617</v>
      </c>
      <c r="F279" s="442" t="s">
        <v>1618</v>
      </c>
      <c r="G279" s="448" t="s">
        <v>1619</v>
      </c>
      <c r="H279" s="442" t="s">
        <v>1620</v>
      </c>
      <c r="I279" s="442" t="s">
        <v>3281</v>
      </c>
    </row>
    <row r="280" spans="4:9" ht="28.5" customHeight="1">
      <c r="D280" s="441" t="str">
        <f t="shared" si="5"/>
        <v>E - Wasserversorgung, Abfallwirtschaft</v>
      </c>
      <c r="E280" s="442" t="s">
        <v>1621</v>
      </c>
      <c r="F280" s="442" t="s">
        <v>1622</v>
      </c>
      <c r="G280" s="448" t="s">
        <v>1623</v>
      </c>
      <c r="H280" s="442" t="s">
        <v>1624</v>
      </c>
      <c r="I280" s="442" t="s">
        <v>3282</v>
      </c>
    </row>
    <row r="281" spans="4:9" ht="15.75" customHeight="1">
      <c r="D281" s="441" t="str">
        <f t="shared" si="5"/>
        <v>F - Baugewerbe</v>
      </c>
      <c r="E281" s="442" t="s">
        <v>1625</v>
      </c>
      <c r="F281" s="442" t="s">
        <v>1626</v>
      </c>
      <c r="G281" s="448" t="s">
        <v>1627</v>
      </c>
      <c r="H281" s="442" t="s">
        <v>1628</v>
      </c>
      <c r="I281" s="442" t="s">
        <v>3283</v>
      </c>
    </row>
    <row r="282" spans="4:9" ht="41.85" customHeight="1">
      <c r="D282" s="441" t="str">
        <f t="shared" si="5"/>
        <v>G - Groß- und Einzelhandel sowie Werkstätten für Kraftfahrzeuge (Anmerkung: Groß- und Einzelhandel nicht auf KFZ beschränkt)</v>
      </c>
      <c r="E282" s="447" t="s">
        <v>1629</v>
      </c>
      <c r="F282" s="442" t="s">
        <v>1630</v>
      </c>
      <c r="G282" s="448" t="s">
        <v>1631</v>
      </c>
      <c r="H282" s="442" t="s">
        <v>1632</v>
      </c>
      <c r="I282" s="442" t="s">
        <v>3284</v>
      </c>
    </row>
    <row r="283" spans="4:9" ht="15.75" customHeight="1">
      <c r="D283" s="441" t="str">
        <f t="shared" si="5"/>
        <v>H - Verkehr und Lagerhaltung</v>
      </c>
      <c r="E283" s="442" t="s">
        <v>1633</v>
      </c>
      <c r="F283" s="442" t="s">
        <v>1634</v>
      </c>
      <c r="G283" s="448" t="s">
        <v>1635</v>
      </c>
      <c r="H283" s="442" t="s">
        <v>1636</v>
      </c>
      <c r="I283" s="442" t="s">
        <v>3285</v>
      </c>
    </row>
    <row r="284" spans="4:9" ht="15.75" customHeight="1">
      <c r="D284" s="441" t="str">
        <f t="shared" si="5"/>
        <v>I - Beherbergung und Gastronomie</v>
      </c>
      <c r="E284" s="442" t="s">
        <v>1637</v>
      </c>
      <c r="F284" s="442" t="s">
        <v>1638</v>
      </c>
      <c r="G284" s="448" t="s">
        <v>1639</v>
      </c>
      <c r="H284" s="442" t="s">
        <v>1640</v>
      </c>
      <c r="I284" s="442" t="s">
        <v>3286</v>
      </c>
    </row>
    <row r="285" spans="4:9" ht="15.75" customHeight="1">
      <c r="D285" s="441" t="str">
        <f t="shared" si="5"/>
        <v>J - Information und Kommunikation</v>
      </c>
      <c r="E285" s="442" t="s">
        <v>1641</v>
      </c>
      <c r="F285" s="442" t="s">
        <v>1642</v>
      </c>
      <c r="G285" s="448" t="s">
        <v>1643</v>
      </c>
      <c r="H285" s="442" t="s">
        <v>1644</v>
      </c>
      <c r="I285" s="442" t="s">
        <v>3287</v>
      </c>
    </row>
    <row r="286" spans="4:9" ht="15.75" customHeight="1">
      <c r="D286" s="441" t="str">
        <f t="shared" si="5"/>
        <v>K - Kredit- und Finanzwesen</v>
      </c>
      <c r="E286" s="442" t="s">
        <v>1645</v>
      </c>
      <c r="F286" s="442" t="s">
        <v>1646</v>
      </c>
      <c r="G286" s="448" t="s">
        <v>1647</v>
      </c>
      <c r="H286" s="442" t="s">
        <v>1648</v>
      </c>
      <c r="I286" s="442" t="s">
        <v>3288</v>
      </c>
    </row>
    <row r="287" spans="4:9" ht="15.75" customHeight="1">
      <c r="D287" s="441" t="str">
        <f t="shared" si="5"/>
        <v>L - (Immobilienwirtschaft</v>
      </c>
      <c r="E287" s="442" t="s">
        <v>1649</v>
      </c>
      <c r="F287" s="442" t="s">
        <v>1650</v>
      </c>
      <c r="G287" s="448" t="s">
        <v>1651</v>
      </c>
      <c r="H287" s="442" t="s">
        <v>1652</v>
      </c>
      <c r="I287" s="442" t="s">
        <v>3289</v>
      </c>
    </row>
    <row r="288" spans="4:9" ht="28.5" customHeight="1">
      <c r="D288" s="441" t="str">
        <f t="shared" si="5"/>
        <v>M - Freiberufliche, wissenschaftliche und technische Dienstleistungen</v>
      </c>
      <c r="E288" s="442" t="s">
        <v>1653</v>
      </c>
      <c r="F288" s="442" t="s">
        <v>1654</v>
      </c>
      <c r="G288" s="448" t="s">
        <v>1655</v>
      </c>
      <c r="H288" s="442" t="s">
        <v>1656</v>
      </c>
      <c r="I288" s="442" t="s">
        <v>3290</v>
      </c>
    </row>
    <row r="289" spans="1:9" ht="28.5" customHeight="1">
      <c r="D289" s="441" t="str">
        <f t="shared" si="5"/>
        <v>N - Administrative und unterstützende Dienstleistungen</v>
      </c>
      <c r="E289" s="442" t="s">
        <v>1657</v>
      </c>
      <c r="F289" s="442" t="s">
        <v>1658</v>
      </c>
      <c r="G289" s="448" t="s">
        <v>1659</v>
      </c>
      <c r="H289" s="442" t="s">
        <v>1660</v>
      </c>
      <c r="I289" s="442" t="s">
        <v>3291</v>
      </c>
    </row>
    <row r="290" spans="1:9" ht="28.5" customHeight="1">
      <c r="D290" s="441" t="str">
        <f t="shared" si="5"/>
        <v>O - Öffentliche Verwaltung; Verteidigung; Sozialversicherungswesen</v>
      </c>
      <c r="E290" s="442" t="s">
        <v>1661</v>
      </c>
      <c r="F290" s="442" t="s">
        <v>1662</v>
      </c>
      <c r="G290" s="448" t="s">
        <v>1663</v>
      </c>
      <c r="H290" s="442" t="s">
        <v>1664</v>
      </c>
      <c r="I290" s="442" t="s">
        <v>3292</v>
      </c>
    </row>
    <row r="291" spans="1:9" ht="15.75" customHeight="1">
      <c r="D291" s="441" t="str">
        <f t="shared" si="5"/>
        <v>P - Bildung</v>
      </c>
      <c r="E291" s="442" t="s">
        <v>7</v>
      </c>
      <c r="F291" s="442" t="s">
        <v>1665</v>
      </c>
      <c r="G291" s="448" t="s">
        <v>1666</v>
      </c>
      <c r="H291" s="442" t="s">
        <v>1667</v>
      </c>
      <c r="I291" s="442" t="s">
        <v>3293</v>
      </c>
    </row>
    <row r="292" spans="1:9" ht="28.5" customHeight="1">
      <c r="D292" s="441" t="str">
        <f t="shared" si="5"/>
        <v>Q - Gesundheit und Sozialarbeit</v>
      </c>
      <c r="E292" s="442" t="s">
        <v>1668</v>
      </c>
      <c r="F292" s="442" t="s">
        <v>1669</v>
      </c>
      <c r="G292" s="448" t="s">
        <v>1670</v>
      </c>
      <c r="H292" s="442" t="s">
        <v>1671</v>
      </c>
      <c r="I292" s="442" t="s">
        <v>3294</v>
      </c>
    </row>
    <row r="293" spans="1:9" ht="28.5" customHeight="1">
      <c r="D293" s="441" t="str">
        <f t="shared" si="5"/>
        <v>R - Kunst, Unterhaltung und Erholung</v>
      </c>
      <c r="E293" s="442" t="s">
        <v>1672</v>
      </c>
      <c r="F293" s="442" t="s">
        <v>1673</v>
      </c>
      <c r="G293" s="448" t="s">
        <v>1674</v>
      </c>
      <c r="H293" s="442" t="s">
        <v>1675</v>
      </c>
      <c r="I293" s="442" t="s">
        <v>3295</v>
      </c>
    </row>
    <row r="294" spans="1:9" ht="15.75" customHeight="1">
      <c r="D294" s="441" t="str">
        <f t="shared" si="5"/>
        <v>S - Andere Dienstleistungen</v>
      </c>
      <c r="E294" s="442" t="s">
        <v>1676</v>
      </c>
      <c r="F294" s="442" t="s">
        <v>1677</v>
      </c>
      <c r="G294" s="448" t="s">
        <v>1678</v>
      </c>
      <c r="H294" s="442" t="s">
        <v>1679</v>
      </c>
      <c r="I294" s="442" t="s">
        <v>3296</v>
      </c>
    </row>
    <row r="295" spans="1:9" ht="54.75" customHeight="1">
      <c r="A295" s="497"/>
      <c r="B295" s="497"/>
      <c r="C295" s="497"/>
      <c r="D295" s="441" t="str">
        <f t="shared" ref="D295:D338" si="6">HLOOKUP($C$1,$E$1:$V$4910,ROW(D295))</f>
        <v>T - Private Haushalte</v>
      </c>
      <c r="E295" s="447" t="s">
        <v>1680</v>
      </c>
      <c r="F295" s="442" t="s">
        <v>1681</v>
      </c>
      <c r="G295" s="448" t="s">
        <v>1366</v>
      </c>
      <c r="H295" s="442" t="s">
        <v>1682</v>
      </c>
      <c r="I295" s="442" t="s">
        <v>3297</v>
      </c>
    </row>
    <row r="296" spans="1:9" ht="28.5" customHeight="1">
      <c r="D296" s="441" t="str">
        <f t="shared" si="6"/>
        <v>U - Exterritoriale Organisationen und Körperschaften</v>
      </c>
      <c r="E296" s="442" t="s">
        <v>1683</v>
      </c>
      <c r="F296" s="442" t="s">
        <v>1684</v>
      </c>
      <c r="G296" s="448" t="s">
        <v>1685</v>
      </c>
      <c r="H296" s="442" t="s">
        <v>1686</v>
      </c>
      <c r="I296" s="442" t="s">
        <v>3298</v>
      </c>
    </row>
    <row r="297" spans="1:9" ht="15.75" customHeight="1">
      <c r="D297" s="441" t="str">
        <f t="shared" si="6"/>
        <v>Gesamt-Ausgaben an Lieferanten (in Euro):</v>
      </c>
      <c r="E297" s="442" t="s">
        <v>1687</v>
      </c>
      <c r="F297" s="442" t="s">
        <v>1688</v>
      </c>
      <c r="G297" s="448" t="s">
        <v>1689</v>
      </c>
      <c r="H297" s="442" t="s">
        <v>1690</v>
      </c>
      <c r="I297" s="442" t="s">
        <v>3299</v>
      </c>
    </row>
    <row r="298" spans="1:9" ht="41.85" customHeight="1">
      <c r="D298" s="441" t="str">
        <f t="shared" si="6"/>
        <v xml:space="preserve">Tragen Sie nachstehend, bitte die 5 wichtigstenBranchen ein, aus denen Sie Produkte/Dienstleistungen beziehen. </v>
      </c>
      <c r="E298" s="442" t="s">
        <v>1691</v>
      </c>
      <c r="F298" s="442" t="s">
        <v>1692</v>
      </c>
      <c r="G298" s="448" t="s">
        <v>1693</v>
      </c>
      <c r="H298" s="442" t="s">
        <v>1694</v>
      </c>
      <c r="I298" s="442" t="s">
        <v>3300</v>
      </c>
    </row>
    <row r="299" spans="1:9" ht="15.75" customHeight="1">
      <c r="D299" s="441" t="str">
        <f t="shared" si="6"/>
        <v>Branche</v>
      </c>
      <c r="E299" s="442" t="s">
        <v>1695</v>
      </c>
      <c r="F299" s="442" t="s">
        <v>1696</v>
      </c>
      <c r="G299" s="448" t="s">
        <v>1697</v>
      </c>
      <c r="H299" s="442" t="s">
        <v>1698</v>
      </c>
      <c r="I299" s="442" t="s">
        <v>3301</v>
      </c>
    </row>
    <row r="300" spans="1:9" ht="15.75" customHeight="1">
      <c r="D300" s="441" t="str">
        <f t="shared" si="6"/>
        <v>Beschreibung</v>
      </c>
      <c r="E300" s="442" t="s">
        <v>1699</v>
      </c>
      <c r="F300" s="442" t="s">
        <v>1000</v>
      </c>
      <c r="G300" s="448" t="s">
        <v>1700</v>
      </c>
      <c r="H300" s="442" t="s">
        <v>1701</v>
      </c>
      <c r="I300" s="442" t="s">
        <v>1700</v>
      </c>
    </row>
    <row r="301" spans="1:9" ht="15.75" customHeight="1">
      <c r="D301" s="441" t="str">
        <f t="shared" si="6"/>
        <v>regionale Herkunft</v>
      </c>
      <c r="E301" s="442" t="s">
        <v>1702</v>
      </c>
      <c r="F301" s="442" t="s">
        <v>1703</v>
      </c>
      <c r="G301" s="448" t="s">
        <v>1704</v>
      </c>
      <c r="H301" s="442" t="s">
        <v>1705</v>
      </c>
      <c r="I301" s="442" t="s">
        <v>3302</v>
      </c>
    </row>
    <row r="302" spans="1:9" ht="15.75" customHeight="1">
      <c r="D302" s="441" t="str">
        <f t="shared" si="6"/>
        <v>Ausgaben</v>
      </c>
      <c r="E302" s="442" t="s">
        <v>1706</v>
      </c>
      <c r="F302" s="442" t="s">
        <v>1707</v>
      </c>
      <c r="G302" s="448" t="s">
        <v>1708</v>
      </c>
      <c r="H302" s="442" t="s">
        <v>1709</v>
      </c>
      <c r="I302" s="442" t="s">
        <v>3303</v>
      </c>
    </row>
    <row r="303" spans="1:9" ht="28.5" customHeight="1">
      <c r="D303" s="441" t="str">
        <f t="shared" si="6"/>
        <v>Überwiegende Herkunft restlicher Lieferanten</v>
      </c>
      <c r="E303" s="442" t="s">
        <v>1710</v>
      </c>
      <c r="F303" s="442" t="s">
        <v>1711</v>
      </c>
      <c r="G303" s="448" t="s">
        <v>1712</v>
      </c>
      <c r="H303" s="442" t="s">
        <v>1713</v>
      </c>
      <c r="I303" s="442" t="s">
        <v>3304</v>
      </c>
    </row>
    <row r="304" spans="1:9" ht="15.75" customHeight="1">
      <c r="D304" s="441" t="str">
        <f t="shared" si="6"/>
        <v>Gewinn (EBIT):</v>
      </c>
      <c r="E304" s="442" t="s">
        <v>1714</v>
      </c>
      <c r="F304" s="461" t="s">
        <v>1715</v>
      </c>
      <c r="G304" s="448" t="s">
        <v>1716</v>
      </c>
      <c r="H304" s="442" t="s">
        <v>1717</v>
      </c>
      <c r="I304" s="442" t="s">
        <v>3305</v>
      </c>
    </row>
    <row r="305" spans="4:9" ht="15.75" customHeight="1">
      <c r="D305" s="441" t="str">
        <f t="shared" si="6"/>
        <v>Finanzierungskosten</v>
      </c>
      <c r="E305" s="442" t="s">
        <v>1718</v>
      </c>
      <c r="F305" s="442" t="s">
        <v>1719</v>
      </c>
      <c r="G305" s="448" t="s">
        <v>1720</v>
      </c>
      <c r="H305" s="442" t="s">
        <v>1721</v>
      </c>
      <c r="I305" s="442" t="s">
        <v>3306</v>
      </c>
    </row>
    <row r="306" spans="4:9" ht="15.75" customHeight="1">
      <c r="D306" s="441" t="str">
        <f t="shared" si="6"/>
        <v>Erträge aus Finanzanlagen</v>
      </c>
      <c r="E306" s="442" t="s">
        <v>1722</v>
      </c>
      <c r="F306" s="442" t="s">
        <v>1723</v>
      </c>
      <c r="G306" s="448" t="s">
        <v>1724</v>
      </c>
      <c r="H306" s="442" t="s">
        <v>1725</v>
      </c>
      <c r="I306" s="442" t="s">
        <v>3307</v>
      </c>
    </row>
    <row r="307" spans="4:9" ht="15.75" customHeight="1">
      <c r="D307" s="441" t="str">
        <f t="shared" si="6"/>
        <v>Bilanzaktiva</v>
      </c>
      <c r="E307" s="442" t="s">
        <v>1726</v>
      </c>
      <c r="F307" s="461" t="s">
        <v>1727</v>
      </c>
      <c r="G307" s="448" t="s">
        <v>1728</v>
      </c>
      <c r="H307" s="442" t="s">
        <v>1729</v>
      </c>
      <c r="I307" s="442" t="s">
        <v>3308</v>
      </c>
    </row>
    <row r="308" spans="4:9" ht="15.75" customHeight="1">
      <c r="D308" s="441" t="str">
        <f t="shared" si="6"/>
        <v xml:space="preserve">Zugänge zum Anlagevermögen </v>
      </c>
      <c r="E308" s="442" t="s">
        <v>1730</v>
      </c>
      <c r="F308" s="461" t="s">
        <v>1731</v>
      </c>
      <c r="G308" s="448" t="s">
        <v>1732</v>
      </c>
      <c r="H308" s="442" t="s">
        <v>1733</v>
      </c>
      <c r="I308" s="442" t="s">
        <v>3309</v>
      </c>
    </row>
    <row r="309" spans="4:9" ht="15.75" customHeight="1">
      <c r="D309" s="441" t="str">
        <f t="shared" si="6"/>
        <v>Finanzanlagen und Barguthaben</v>
      </c>
      <c r="E309" s="442" t="s">
        <v>1734</v>
      </c>
      <c r="F309" s="461" t="s">
        <v>1735</v>
      </c>
      <c r="G309" s="448" t="s">
        <v>1736</v>
      </c>
      <c r="H309" s="442" t="s">
        <v>1737</v>
      </c>
      <c r="I309" s="442" t="s">
        <v>3310</v>
      </c>
    </row>
    <row r="310" spans="4:9" ht="28.5" customHeight="1">
      <c r="D310" s="441" t="str">
        <f t="shared" si="6"/>
        <v xml:space="preserve">Anzahl der Mitarbeitenden (in Vollzeitäquivalenten): </v>
      </c>
      <c r="E310" s="442" t="s">
        <v>1738</v>
      </c>
      <c r="F310" s="442" t="s">
        <v>1739</v>
      </c>
      <c r="G310" s="448" t="s">
        <v>1740</v>
      </c>
      <c r="H310" s="442" t="s">
        <v>1741</v>
      </c>
      <c r="I310" s="442" t="s">
        <v>3311</v>
      </c>
    </row>
    <row r="311" spans="4:9" ht="28.5" customHeight="1">
      <c r="D311" s="441" t="str">
        <f t="shared" si="6"/>
        <v>Personalkosten (brutto ohne Dienstgeberanteil)</v>
      </c>
      <c r="E311" s="442" t="s">
        <v>1742</v>
      </c>
      <c r="F311" s="442" t="s">
        <v>1743</v>
      </c>
      <c r="G311" s="448" t="s">
        <v>1744</v>
      </c>
      <c r="H311" s="442" t="s">
        <v>1745</v>
      </c>
      <c r="I311" s="442" t="s">
        <v>3312</v>
      </c>
    </row>
    <row r="312" spans="4:9" ht="41.85" customHeight="1">
      <c r="D312" s="441" t="str">
        <f t="shared" si="6"/>
        <v>Tragen Sie bitte nachstehend jene drei Länder und Regionen ein, wo die meisten Mitarbeitenden arbeiten</v>
      </c>
      <c r="E312" s="447" t="s">
        <v>1746</v>
      </c>
      <c r="F312" s="442" t="s">
        <v>1747</v>
      </c>
      <c r="G312" s="448" t="s">
        <v>1748</v>
      </c>
      <c r="H312" s="442" t="s">
        <v>1749</v>
      </c>
      <c r="I312" s="442" t="s">
        <v>3313</v>
      </c>
    </row>
    <row r="313" spans="4:9" ht="15.75" customHeight="1">
      <c r="D313" s="441" t="str">
        <f t="shared" si="6"/>
        <v>Land &amp; Region</v>
      </c>
      <c r="E313" s="442" t="s">
        <v>1750</v>
      </c>
      <c r="F313" s="442" t="s">
        <v>1751</v>
      </c>
      <c r="G313" s="448" t="s">
        <v>1752</v>
      </c>
      <c r="H313" s="442" t="s">
        <v>1753</v>
      </c>
      <c r="I313" s="442" t="s">
        <v>3314</v>
      </c>
    </row>
    <row r="314" spans="4:9" ht="15.75" customHeight="1">
      <c r="D314" s="441" t="str">
        <f t="shared" si="6"/>
        <v xml:space="preserve">Anteil in % </v>
      </c>
      <c r="E314" s="442" t="s">
        <v>1754</v>
      </c>
      <c r="F314" s="442" t="s">
        <v>1755</v>
      </c>
      <c r="G314" s="448" t="s">
        <v>1756</v>
      </c>
      <c r="H314" s="442" t="s">
        <v>1757</v>
      </c>
      <c r="I314" s="442" t="s">
        <v>3315</v>
      </c>
    </row>
    <row r="315" spans="4:9" ht="28.5" customHeight="1">
      <c r="D315" s="441" t="str">
        <f t="shared" si="6"/>
        <v>Durchschnittlicher Arbeitsweg der Mitarbeitenden (in km):</v>
      </c>
      <c r="E315" s="442" t="s">
        <v>1758</v>
      </c>
      <c r="F315" s="442" t="s">
        <v>1759</v>
      </c>
      <c r="G315" s="448" t="s">
        <v>1760</v>
      </c>
      <c r="H315" s="442" t="s">
        <v>1761</v>
      </c>
      <c r="I315" s="442" t="s">
        <v>3316</v>
      </c>
    </row>
    <row r="316" spans="4:9" ht="29.25" customHeight="1">
      <c r="D316" s="441" t="str">
        <f t="shared" si="6"/>
        <v>Gibt es eine Kantine für die Mehrheit der Mitarbeitenden?</v>
      </c>
      <c r="E316" s="442" t="s">
        <v>1762</v>
      </c>
      <c r="F316" s="442" t="s">
        <v>1763</v>
      </c>
      <c r="G316" s="448" t="s">
        <v>1764</v>
      </c>
      <c r="H316" s="442" t="s">
        <v>1765</v>
      </c>
      <c r="I316" s="442" t="s">
        <v>3317</v>
      </c>
    </row>
    <row r="317" spans="4:9" ht="15.75" customHeight="1">
      <c r="D317" s="441" t="str">
        <f t="shared" si="6"/>
        <v>Umsatz (in Euro)</v>
      </c>
      <c r="E317" s="442" t="s">
        <v>1766</v>
      </c>
      <c r="F317" s="442" t="s">
        <v>1767</v>
      </c>
      <c r="G317" s="448" t="s">
        <v>1768</v>
      </c>
      <c r="H317" s="442" t="s">
        <v>1769</v>
      </c>
      <c r="I317" s="442" t="s">
        <v>3318</v>
      </c>
    </row>
    <row r="318" spans="4:9" ht="28.5" customHeight="1">
      <c r="D318" s="441" t="str">
        <f t="shared" si="6"/>
        <v>Haben Sie nahezu ausschließlich Unternehmen als Kunden</v>
      </c>
      <c r="E318" s="442" t="s">
        <v>1770</v>
      </c>
      <c r="F318" s="442" t="s">
        <v>1771</v>
      </c>
      <c r="G318" s="448" t="s">
        <v>1772</v>
      </c>
      <c r="H318" s="442" t="s">
        <v>1773</v>
      </c>
      <c r="I318" s="442" t="s">
        <v>3319</v>
      </c>
    </row>
    <row r="319" spans="4:9" ht="41.85" customHeight="1">
      <c r="D319" s="441" t="str">
        <f t="shared" si="6"/>
        <v>Tragen Sie nachstehend, bitte die 3 wichtigsten Branchen ein, in denen Ihr Unternehmen tätig ist, inklusive ungefährem Umsatzanteil</v>
      </c>
      <c r="E319" s="442" t="s">
        <v>1774</v>
      </c>
      <c r="F319" s="442" t="s">
        <v>1775</v>
      </c>
      <c r="G319" s="448" t="s">
        <v>1776</v>
      </c>
      <c r="H319" s="442" t="s">
        <v>1777</v>
      </c>
      <c r="I319" s="442" t="s">
        <v>3320</v>
      </c>
    </row>
    <row r="320" spans="4:9" ht="15.75" customHeight="1">
      <c r="D320" s="441" t="str">
        <f t="shared" si="6"/>
        <v>Branche</v>
      </c>
      <c r="E320" s="442" t="s">
        <v>1695</v>
      </c>
      <c r="F320" s="442" t="s">
        <v>1696</v>
      </c>
      <c r="G320" s="448" t="s">
        <v>1697</v>
      </c>
      <c r="H320" s="442" t="s">
        <v>1698</v>
      </c>
      <c r="I320" s="442" t="s">
        <v>3301</v>
      </c>
    </row>
    <row r="321" spans="4:9" ht="15.75" customHeight="1">
      <c r="D321" s="441" t="str">
        <f t="shared" si="6"/>
        <v>Beschreibung</v>
      </c>
      <c r="E321" s="442" t="s">
        <v>1699</v>
      </c>
      <c r="F321" s="442" t="s">
        <v>1778</v>
      </c>
      <c r="G321" s="448" t="s">
        <v>1700</v>
      </c>
      <c r="H321" s="442" t="s">
        <v>1701</v>
      </c>
      <c r="I321" s="442" t="s">
        <v>1700</v>
      </c>
    </row>
    <row r="322" spans="4:9" ht="15.75" customHeight="1">
      <c r="D322" s="441" t="str">
        <f t="shared" si="6"/>
        <v>% Anteil am Gesamtumsatz</v>
      </c>
      <c r="E322" s="442" t="s">
        <v>1779</v>
      </c>
      <c r="F322" s="442" t="s">
        <v>1780</v>
      </c>
      <c r="G322" s="448" t="s">
        <v>1781</v>
      </c>
      <c r="H322" s="442" t="s">
        <v>1782</v>
      </c>
      <c r="I322" s="442" t="s">
        <v>3321</v>
      </c>
    </row>
    <row r="323" spans="4:9" ht="15.75" customHeight="1">
      <c r="D323" s="441" t="str">
        <f t="shared" si="6"/>
        <v xml:space="preserve">Unternehmensgrösse </v>
      </c>
      <c r="E323" s="442" t="s">
        <v>1783</v>
      </c>
      <c r="F323" s="442" t="s">
        <v>1784</v>
      </c>
      <c r="G323" s="448" t="s">
        <v>1785</v>
      </c>
      <c r="H323" s="442" t="s">
        <v>1786</v>
      </c>
      <c r="I323" s="442" t="s">
        <v>3322</v>
      </c>
    </row>
    <row r="324" spans="4:9" ht="15.75" customHeight="1">
      <c r="D324" s="441" t="str">
        <f t="shared" si="6"/>
        <v>Kleinstunternehmen</v>
      </c>
      <c r="E324" s="442" t="s">
        <v>1787</v>
      </c>
      <c r="F324" s="442" t="s">
        <v>1788</v>
      </c>
      <c r="G324" s="448" t="s">
        <v>1789</v>
      </c>
      <c r="H324" s="442" t="s">
        <v>1790</v>
      </c>
      <c r="I324" s="442" t="s">
        <v>3323</v>
      </c>
    </row>
    <row r="325" spans="4:9" ht="15.75" customHeight="1">
      <c r="D325" s="441" t="str">
        <f t="shared" si="6"/>
        <v>Kleinunternehmen</v>
      </c>
      <c r="E325" s="442" t="s">
        <v>1791</v>
      </c>
      <c r="F325" s="442" t="s">
        <v>1792</v>
      </c>
      <c r="G325" s="448" t="s">
        <v>1793</v>
      </c>
      <c r="H325" s="442" t="s">
        <v>1794</v>
      </c>
      <c r="I325" s="442" t="s">
        <v>3324</v>
      </c>
    </row>
    <row r="326" spans="4:9" ht="15.75" customHeight="1">
      <c r="D326" s="441" t="str">
        <f t="shared" si="6"/>
        <v>Mittleres Unternehmen</v>
      </c>
      <c r="E326" s="442" t="s">
        <v>1795</v>
      </c>
      <c r="F326" s="442" t="s">
        <v>1796</v>
      </c>
      <c r="G326" s="448" t="s">
        <v>1797</v>
      </c>
      <c r="H326" s="442" t="s">
        <v>1798</v>
      </c>
      <c r="I326" s="442" t="s">
        <v>3325</v>
      </c>
    </row>
    <row r="327" spans="4:9" ht="15.75" customHeight="1">
      <c r="D327" s="441" t="str">
        <f t="shared" si="6"/>
        <v>Grossunternehmen</v>
      </c>
      <c r="E327" s="442" t="s">
        <v>1799</v>
      </c>
      <c r="F327" s="442" t="s">
        <v>1800</v>
      </c>
      <c r="G327" s="448" t="s">
        <v>1801</v>
      </c>
      <c r="H327" s="442" t="s">
        <v>1802</v>
      </c>
      <c r="I327" s="442" t="s">
        <v>3326</v>
      </c>
    </row>
    <row r="328" spans="4:9" ht="28.5" customHeight="1">
      <c r="D328" s="441" t="str">
        <f t="shared" si="6"/>
        <v xml:space="preserve">In diesem Tabellenblatt wird die Gemeinwohlbilanz berechnet. </v>
      </c>
      <c r="E328" s="447" t="s">
        <v>1803</v>
      </c>
      <c r="F328" s="442" t="s">
        <v>1804</v>
      </c>
      <c r="G328" s="442" t="str">
        <f>"[en]"&amp;E328</f>
        <v xml:space="preserve">[en]In diesem Tabellenblatt wird die Gemeinwohlbilanz berechnet. </v>
      </c>
      <c r="H328" s="442" t="s">
        <v>1805</v>
      </c>
      <c r="I328" s="442" t="s">
        <v>3327</v>
      </c>
    </row>
    <row r="329" spans="4:9" ht="28.5" customHeight="1">
      <c r="D329" s="441" t="str">
        <f t="shared" si="6"/>
        <v>Skalenwert eingeben: Wert muss im Bereich von 0 bis 10 liegen.</v>
      </c>
      <c r="E329" s="447" t="s">
        <v>1806</v>
      </c>
      <c r="F329" s="498" t="s">
        <v>1807</v>
      </c>
      <c r="G329" s="458" t="s">
        <v>3037</v>
      </c>
      <c r="H329" s="442" t="s">
        <v>1808</v>
      </c>
      <c r="I329" s="442" t="s">
        <v>3328</v>
      </c>
    </row>
    <row r="330" spans="4:9" ht="28.5" customHeight="1">
      <c r="D330" s="441" t="str">
        <f t="shared" si="6"/>
        <v>Negativpunkte eingeben: Werte müssen im Bereich von -200 bis 0 liegen.</v>
      </c>
      <c r="E330" s="447" t="s">
        <v>1809</v>
      </c>
      <c r="F330" s="498" t="s">
        <v>1810</v>
      </c>
      <c r="G330" s="458" t="s">
        <v>3038</v>
      </c>
      <c r="H330" s="442" t="s">
        <v>1811</v>
      </c>
      <c r="I330" s="442" t="s">
        <v>3329</v>
      </c>
    </row>
    <row r="331" spans="4:9" ht="15.75" customHeight="1">
      <c r="D331" s="441" t="str">
        <f t="shared" si="6"/>
        <v>globaler Durchschnitt</v>
      </c>
      <c r="E331" s="499" t="s">
        <v>1812</v>
      </c>
      <c r="F331" s="442" t="s">
        <v>1813</v>
      </c>
      <c r="G331" s="448" t="str">
        <f>"[en]"&amp;E331</f>
        <v>[en]globaler Durchschnitt</v>
      </c>
      <c r="H331" s="442" t="s">
        <v>1814</v>
      </c>
      <c r="I331" s="442" t="s">
        <v>3330</v>
      </c>
    </row>
    <row r="332" spans="4:9" ht="15.75" customHeight="1">
      <c r="D332" s="441" t="str">
        <f t="shared" si="6"/>
        <v>Bitte auswählen</v>
      </c>
      <c r="E332" s="499" t="s">
        <v>1815</v>
      </c>
      <c r="F332" s="442" t="s">
        <v>1369</v>
      </c>
      <c r="G332" s="448" t="s">
        <v>1370</v>
      </c>
      <c r="H332" s="442" t="s">
        <v>1816</v>
      </c>
      <c r="I332" s="442" t="s">
        <v>3225</v>
      </c>
    </row>
    <row r="333" spans="4:9" ht="16.350000000000001" customHeight="1">
      <c r="D333" s="441" t="str">
        <f t="shared" si="6"/>
        <v>Afrika</v>
      </c>
      <c r="E333" s="499" t="s">
        <v>1817</v>
      </c>
      <c r="F333" s="442" t="s">
        <v>250</v>
      </c>
      <c r="G333" s="448" t="str">
        <f t="shared" ref="G333:G338" si="7">"[en]"&amp;E333</f>
        <v>[en]Afrika</v>
      </c>
      <c r="H333" s="442" t="s">
        <v>1818</v>
      </c>
      <c r="I333" s="442" t="s">
        <v>3331</v>
      </c>
    </row>
    <row r="334" spans="4:9" ht="16.350000000000001" customHeight="1">
      <c r="D334" s="441" t="str">
        <f t="shared" si="6"/>
        <v>Nord-Afrika und Mittlere Osten</v>
      </c>
      <c r="E334" s="499" t="s">
        <v>1819</v>
      </c>
      <c r="F334" s="442" t="s">
        <v>1820</v>
      </c>
      <c r="G334" s="448" t="str">
        <f t="shared" si="7"/>
        <v>[en]Nord-Afrika und Mittlere Osten</v>
      </c>
      <c r="H334" s="442" t="s">
        <v>1821</v>
      </c>
      <c r="I334" s="442" t="s">
        <v>3332</v>
      </c>
    </row>
    <row r="335" spans="4:9" ht="16.350000000000001" customHeight="1">
      <c r="D335" s="441" t="str">
        <f t="shared" si="6"/>
        <v>Latein-Amerika</v>
      </c>
      <c r="E335" s="499" t="s">
        <v>1822</v>
      </c>
      <c r="F335" s="442" t="s">
        <v>1823</v>
      </c>
      <c r="G335" s="448" t="str">
        <f t="shared" si="7"/>
        <v>[en]Latein-Amerika</v>
      </c>
      <c r="H335" s="442" t="s">
        <v>1824</v>
      </c>
      <c r="I335" s="442" t="s">
        <v>3333</v>
      </c>
    </row>
    <row r="336" spans="4:9" ht="16.350000000000001" customHeight="1">
      <c r="D336" s="441" t="str">
        <f t="shared" si="6"/>
        <v>Nord-Amerika &amp; Ozeanien</v>
      </c>
      <c r="E336" s="499" t="s">
        <v>1825</v>
      </c>
      <c r="F336" s="442" t="s">
        <v>1826</v>
      </c>
      <c r="G336" s="448" t="str">
        <f t="shared" si="7"/>
        <v>[en]Nord-Amerika &amp; Ozeanien</v>
      </c>
      <c r="H336" s="442" t="s">
        <v>1827</v>
      </c>
      <c r="I336" s="442" t="s">
        <v>3334</v>
      </c>
    </row>
    <row r="337" spans="1:11" ht="16.350000000000001" customHeight="1">
      <c r="D337" s="441" t="str">
        <f t="shared" si="6"/>
        <v>Asien</v>
      </c>
      <c r="E337" s="499" t="s">
        <v>1828</v>
      </c>
      <c r="F337" s="442" t="s">
        <v>247</v>
      </c>
      <c r="G337" s="448" t="str">
        <f t="shared" si="7"/>
        <v>[en]Asien</v>
      </c>
      <c r="H337" s="442" t="s">
        <v>247</v>
      </c>
      <c r="I337" s="442" t="s">
        <v>3335</v>
      </c>
    </row>
    <row r="338" spans="1:11" ht="15.75" customHeight="1">
      <c r="D338" s="441" t="str">
        <f t="shared" si="6"/>
        <v>Europa</v>
      </c>
      <c r="E338" s="499" t="s">
        <v>1829</v>
      </c>
      <c r="F338" s="442" t="s">
        <v>1829</v>
      </c>
      <c r="G338" s="448" t="str">
        <f t="shared" si="7"/>
        <v>[en]Europa</v>
      </c>
      <c r="H338" s="442" t="s">
        <v>1829</v>
      </c>
      <c r="I338" s="442" t="s">
        <v>253</v>
      </c>
    </row>
    <row r="339" spans="1:11" ht="15.75" customHeight="1">
      <c r="A339" s="500" t="s">
        <v>245</v>
      </c>
      <c r="B339" s="461" t="s">
        <v>1830</v>
      </c>
      <c r="C339" s="500" t="s">
        <v>1831</v>
      </c>
      <c r="D339" s="441" t="str">
        <f t="shared" ref="D339:D402" si="8">A339&amp;" "&amp;HLOOKUP($C$1,$E$1:$V$4910,ROW(D339))</f>
        <v>ABW Aruba</v>
      </c>
      <c r="E339" s="501" t="s">
        <v>242</v>
      </c>
      <c r="F339" s="442" t="s">
        <v>1832</v>
      </c>
      <c r="G339" s="448" t="s">
        <v>1832</v>
      </c>
      <c r="H339" s="442" t="s">
        <v>242</v>
      </c>
      <c r="I339" s="442" t="s">
        <v>242</v>
      </c>
      <c r="J339" s="502" t="s">
        <v>245</v>
      </c>
      <c r="K339" s="443" t="str">
        <f t="shared" ref="K339:K402" si="9">IF(J339=A339,"","nix")</f>
        <v/>
      </c>
    </row>
    <row r="340" spans="1:11" ht="15.75" customHeight="1">
      <c r="A340" s="500" t="s">
        <v>248</v>
      </c>
      <c r="B340" s="461" t="s">
        <v>1833</v>
      </c>
      <c r="C340" s="500" t="s">
        <v>1834</v>
      </c>
      <c r="D340" s="441" t="str">
        <f t="shared" si="8"/>
        <v>AFG Afghanistan</v>
      </c>
      <c r="E340" s="501" t="s">
        <v>246</v>
      </c>
      <c r="F340" s="442" t="s">
        <v>1835</v>
      </c>
      <c r="G340" s="448" t="s">
        <v>1835</v>
      </c>
      <c r="H340" s="442" t="s">
        <v>1836</v>
      </c>
      <c r="I340" s="442" t="s">
        <v>246</v>
      </c>
      <c r="J340" s="502" t="s">
        <v>248</v>
      </c>
      <c r="K340" s="443" t="str">
        <f t="shared" si="9"/>
        <v/>
      </c>
    </row>
    <row r="341" spans="1:11" ht="15.75" customHeight="1">
      <c r="A341" s="500" t="s">
        <v>251</v>
      </c>
      <c r="B341" s="461" t="s">
        <v>1837</v>
      </c>
      <c r="C341" s="500" t="s">
        <v>1838</v>
      </c>
      <c r="D341" s="441" t="str">
        <f t="shared" si="8"/>
        <v>AGO Angola</v>
      </c>
      <c r="E341" s="501" t="s">
        <v>249</v>
      </c>
      <c r="F341" s="442" t="s">
        <v>1839</v>
      </c>
      <c r="G341" s="448" t="s">
        <v>1839</v>
      </c>
      <c r="H341" s="442" t="s">
        <v>249</v>
      </c>
      <c r="I341" s="442" t="s">
        <v>249</v>
      </c>
      <c r="J341" s="502" t="s">
        <v>251</v>
      </c>
      <c r="K341" s="443" t="str">
        <f t="shared" si="9"/>
        <v/>
      </c>
    </row>
    <row r="342" spans="1:11" ht="15.75" customHeight="1">
      <c r="A342" s="500" t="s">
        <v>254</v>
      </c>
      <c r="B342" s="461" t="s">
        <v>1840</v>
      </c>
      <c r="C342" s="500" t="s">
        <v>1841</v>
      </c>
      <c r="D342" s="441" t="str">
        <f t="shared" si="8"/>
        <v>ALB Albanien</v>
      </c>
      <c r="E342" s="501" t="s">
        <v>1842</v>
      </c>
      <c r="F342" s="442" t="s">
        <v>1843</v>
      </c>
      <c r="G342" s="448" t="s">
        <v>1843</v>
      </c>
      <c r="H342" s="442" t="s">
        <v>252</v>
      </c>
      <c r="I342" s="442" t="s">
        <v>1844</v>
      </c>
      <c r="J342" s="502" t="s">
        <v>254</v>
      </c>
      <c r="K342" s="443" t="str">
        <f t="shared" si="9"/>
        <v/>
      </c>
    </row>
    <row r="343" spans="1:11" ht="15.75" customHeight="1">
      <c r="A343" s="500" t="s">
        <v>256</v>
      </c>
      <c r="B343" s="461" t="s">
        <v>1845</v>
      </c>
      <c r="C343" s="500" t="s">
        <v>1846</v>
      </c>
      <c r="D343" s="441" t="str">
        <f t="shared" si="8"/>
        <v>AND Andorra</v>
      </c>
      <c r="E343" s="501" t="s">
        <v>255</v>
      </c>
      <c r="F343" s="442" t="s">
        <v>1847</v>
      </c>
      <c r="G343" s="448" t="s">
        <v>1847</v>
      </c>
      <c r="H343" s="442" t="s">
        <v>255</v>
      </c>
      <c r="I343" s="442" t="s">
        <v>1848</v>
      </c>
      <c r="J343" s="502" t="s">
        <v>256</v>
      </c>
      <c r="K343" s="443" t="str">
        <f t="shared" si="9"/>
        <v/>
      </c>
    </row>
    <row r="344" spans="1:11" ht="15.75" customHeight="1">
      <c r="A344" s="500" t="s">
        <v>258</v>
      </c>
      <c r="B344" s="461" t="s">
        <v>1849</v>
      </c>
      <c r="C344" s="500" t="s">
        <v>1850</v>
      </c>
      <c r="D344" s="441" t="str">
        <f t="shared" si="8"/>
        <v>ARE Vereinigte Arabische Emirate</v>
      </c>
      <c r="E344" s="501" t="s">
        <v>1851</v>
      </c>
      <c r="F344" s="442" t="s">
        <v>1852</v>
      </c>
      <c r="G344" s="448" t="s">
        <v>1853</v>
      </c>
      <c r="H344" s="442" t="s">
        <v>1854</v>
      </c>
      <c r="I344" s="442" t="s">
        <v>1855</v>
      </c>
      <c r="J344" s="502" t="s">
        <v>258</v>
      </c>
      <c r="K344" s="443" t="str">
        <f t="shared" si="9"/>
        <v/>
      </c>
    </row>
    <row r="345" spans="1:11" ht="15.75" customHeight="1">
      <c r="A345" s="500" t="s">
        <v>260</v>
      </c>
      <c r="B345" s="461" t="s">
        <v>1856</v>
      </c>
      <c r="C345" s="500" t="s">
        <v>1857</v>
      </c>
      <c r="D345" s="441" t="str">
        <f t="shared" si="8"/>
        <v>ARG Argentinien</v>
      </c>
      <c r="E345" s="501" t="s">
        <v>1858</v>
      </c>
      <c r="F345" s="442" t="s">
        <v>1859</v>
      </c>
      <c r="G345" s="448" t="s">
        <v>1859</v>
      </c>
      <c r="H345" s="442" t="s">
        <v>259</v>
      </c>
      <c r="I345" s="442" t="s">
        <v>1860</v>
      </c>
      <c r="J345" s="502" t="s">
        <v>260</v>
      </c>
      <c r="K345" s="443" t="str">
        <f t="shared" si="9"/>
        <v/>
      </c>
    </row>
    <row r="346" spans="1:11" ht="15.75" customHeight="1">
      <c r="A346" s="500" t="s">
        <v>262</v>
      </c>
      <c r="B346" s="461" t="s">
        <v>1861</v>
      </c>
      <c r="C346" s="500" t="s">
        <v>1862</v>
      </c>
      <c r="D346" s="441" t="str">
        <f t="shared" si="8"/>
        <v>ARM Armenien</v>
      </c>
      <c r="E346" s="501" t="s">
        <v>1863</v>
      </c>
      <c r="F346" s="442" t="s">
        <v>1864</v>
      </c>
      <c r="G346" s="448" t="s">
        <v>1864</v>
      </c>
      <c r="H346" s="442" t="s">
        <v>261</v>
      </c>
      <c r="I346" s="442" t="s">
        <v>1865</v>
      </c>
      <c r="J346" s="502" t="s">
        <v>262</v>
      </c>
      <c r="K346" s="443" t="str">
        <f t="shared" si="9"/>
        <v/>
      </c>
    </row>
    <row r="347" spans="1:11" ht="15.75" customHeight="1">
      <c r="A347" s="500" t="s">
        <v>265</v>
      </c>
      <c r="B347" s="461" t="s">
        <v>1866</v>
      </c>
      <c r="C347" s="500" t="s">
        <v>1867</v>
      </c>
      <c r="D347" s="441" t="str">
        <f t="shared" si="8"/>
        <v>ASM Amerikanisch-Samoa</v>
      </c>
      <c r="E347" s="501" t="s">
        <v>1868</v>
      </c>
      <c r="F347" s="442" t="s">
        <v>1869</v>
      </c>
      <c r="G347" s="448" t="s">
        <v>1870</v>
      </c>
      <c r="H347" s="442" t="s">
        <v>1871</v>
      </c>
      <c r="I347" s="442" t="s">
        <v>1872</v>
      </c>
      <c r="J347" s="502" t="s">
        <v>265</v>
      </c>
      <c r="K347" s="443" t="str">
        <f t="shared" si="9"/>
        <v/>
      </c>
    </row>
    <row r="348" spans="1:11" ht="15.75" customHeight="1">
      <c r="A348" s="500" t="s">
        <v>267</v>
      </c>
      <c r="B348" s="461" t="s">
        <v>1873</v>
      </c>
      <c r="C348" s="500" t="s">
        <v>1874</v>
      </c>
      <c r="D348" s="441" t="str">
        <f t="shared" si="8"/>
        <v>ATG Antigua und Barbuda</v>
      </c>
      <c r="E348" s="501" t="s">
        <v>1875</v>
      </c>
      <c r="F348" s="442" t="s">
        <v>1876</v>
      </c>
      <c r="G348" s="448" t="s">
        <v>1877</v>
      </c>
      <c r="H348" s="442" t="s">
        <v>1878</v>
      </c>
      <c r="I348" s="442" t="s">
        <v>1879</v>
      </c>
      <c r="J348" s="502" t="s">
        <v>267</v>
      </c>
      <c r="K348" s="443" t="str">
        <f t="shared" si="9"/>
        <v/>
      </c>
    </row>
    <row r="349" spans="1:11" ht="15.75" customHeight="1">
      <c r="A349" s="500" t="s">
        <v>269</v>
      </c>
      <c r="B349" s="461" t="s">
        <v>1880</v>
      </c>
      <c r="C349" s="500" t="s">
        <v>1881</v>
      </c>
      <c r="D349" s="441" t="str">
        <f t="shared" si="8"/>
        <v>AUS Australien</v>
      </c>
      <c r="E349" s="501" t="s">
        <v>1882</v>
      </c>
      <c r="F349" s="442" t="s">
        <v>1883</v>
      </c>
      <c r="G349" s="448" t="s">
        <v>1883</v>
      </c>
      <c r="H349" s="442" t="s">
        <v>268</v>
      </c>
      <c r="I349" s="442" t="s">
        <v>1884</v>
      </c>
      <c r="J349" s="502" t="s">
        <v>269</v>
      </c>
      <c r="K349" s="443" t="str">
        <f t="shared" si="9"/>
        <v/>
      </c>
    </row>
    <row r="350" spans="1:11" ht="15.75" customHeight="1">
      <c r="A350" s="500" t="s">
        <v>271</v>
      </c>
      <c r="B350" s="461" t="s">
        <v>1885</v>
      </c>
      <c r="C350" s="500" t="s">
        <v>1886</v>
      </c>
      <c r="D350" s="441" t="str">
        <f t="shared" si="8"/>
        <v>AUT Österreich</v>
      </c>
      <c r="E350" s="501" t="s">
        <v>1887</v>
      </c>
      <c r="F350" s="442" t="s">
        <v>1888</v>
      </c>
      <c r="G350" s="448" t="s">
        <v>1888</v>
      </c>
      <c r="H350" s="442" t="s">
        <v>270</v>
      </c>
      <c r="I350" s="442" t="s">
        <v>1889</v>
      </c>
      <c r="J350" s="502" t="s">
        <v>271</v>
      </c>
      <c r="K350" s="443" t="str">
        <f t="shared" si="9"/>
        <v/>
      </c>
    </row>
    <row r="351" spans="1:11" ht="15.75" customHeight="1">
      <c r="A351" s="500" t="s">
        <v>273</v>
      </c>
      <c r="B351" s="461" t="s">
        <v>1890</v>
      </c>
      <c r="C351" s="500" t="s">
        <v>1891</v>
      </c>
      <c r="D351" s="441" t="str">
        <f t="shared" si="8"/>
        <v>AZE Aserbaidschan</v>
      </c>
      <c r="E351" s="501" t="s">
        <v>1892</v>
      </c>
      <c r="F351" s="442" t="s">
        <v>1893</v>
      </c>
      <c r="G351" s="448" t="s">
        <v>1894</v>
      </c>
      <c r="H351" s="442" t="s">
        <v>1895</v>
      </c>
      <c r="I351" s="442" t="s">
        <v>1896</v>
      </c>
      <c r="J351" s="502" t="s">
        <v>273</v>
      </c>
      <c r="K351" s="443" t="str">
        <f t="shared" si="9"/>
        <v/>
      </c>
    </row>
    <row r="352" spans="1:11" ht="15.75" customHeight="1">
      <c r="A352" s="500" t="s">
        <v>275</v>
      </c>
      <c r="B352" s="461" t="s">
        <v>1897</v>
      </c>
      <c r="C352" s="500" t="s">
        <v>1898</v>
      </c>
      <c r="D352" s="441" t="str">
        <f t="shared" si="8"/>
        <v>BDI Burundi</v>
      </c>
      <c r="E352" s="501" t="s">
        <v>274</v>
      </c>
      <c r="F352" s="442" t="s">
        <v>1899</v>
      </c>
      <c r="G352" s="448" t="s">
        <v>1899</v>
      </c>
      <c r="H352" s="442" t="s">
        <v>274</v>
      </c>
      <c r="I352" s="442" t="s">
        <v>274</v>
      </c>
      <c r="J352" s="502" t="s">
        <v>275</v>
      </c>
      <c r="K352" s="443" t="str">
        <f t="shared" si="9"/>
        <v/>
      </c>
    </row>
    <row r="353" spans="1:11" ht="15.75" customHeight="1">
      <c r="A353" s="500" t="s">
        <v>277</v>
      </c>
      <c r="B353" s="461" t="s">
        <v>1900</v>
      </c>
      <c r="C353" s="500" t="s">
        <v>1901</v>
      </c>
      <c r="D353" s="441" t="str">
        <f t="shared" si="8"/>
        <v>BEL Belgien</v>
      </c>
      <c r="E353" s="501" t="s">
        <v>1902</v>
      </c>
      <c r="F353" s="442" t="s">
        <v>1903</v>
      </c>
      <c r="G353" s="448" t="s">
        <v>1904</v>
      </c>
      <c r="H353" s="442" t="s">
        <v>1905</v>
      </c>
      <c r="I353" s="442" t="s">
        <v>1906</v>
      </c>
      <c r="J353" s="502" t="s">
        <v>277</v>
      </c>
      <c r="K353" s="443" t="str">
        <f t="shared" si="9"/>
        <v/>
      </c>
    </row>
    <row r="354" spans="1:11" ht="15.75" customHeight="1">
      <c r="A354" s="500" t="s">
        <v>279</v>
      </c>
      <c r="B354" s="461" t="s">
        <v>1907</v>
      </c>
      <c r="C354" s="500" t="s">
        <v>1908</v>
      </c>
      <c r="D354" s="441" t="str">
        <f t="shared" si="8"/>
        <v>BEN Benin</v>
      </c>
      <c r="E354" s="501" t="s">
        <v>278</v>
      </c>
      <c r="F354" s="442" t="s">
        <v>1909</v>
      </c>
      <c r="G354" s="448" t="s">
        <v>1909</v>
      </c>
      <c r="H354" s="442" t="s">
        <v>1910</v>
      </c>
      <c r="I354" s="442" t="s">
        <v>1911</v>
      </c>
      <c r="J354" s="502" t="s">
        <v>279</v>
      </c>
      <c r="K354" s="443" t="str">
        <f t="shared" si="9"/>
        <v/>
      </c>
    </row>
    <row r="355" spans="1:11" ht="15.75" customHeight="1">
      <c r="A355" s="500" t="s">
        <v>281</v>
      </c>
      <c r="B355" s="461" t="s">
        <v>1912</v>
      </c>
      <c r="C355" s="500" t="s">
        <v>1913</v>
      </c>
      <c r="D355" s="441" t="str">
        <f t="shared" si="8"/>
        <v>BFA Burkina Faso</v>
      </c>
      <c r="E355" s="501" t="s">
        <v>280</v>
      </c>
      <c r="F355" s="442" t="s">
        <v>1914</v>
      </c>
      <c r="G355" s="448" t="s">
        <v>1914</v>
      </c>
      <c r="H355" s="442" t="s">
        <v>280</v>
      </c>
      <c r="I355" s="442" t="s">
        <v>280</v>
      </c>
      <c r="J355" s="502" t="s">
        <v>281</v>
      </c>
      <c r="K355" s="443" t="str">
        <f t="shared" si="9"/>
        <v/>
      </c>
    </row>
    <row r="356" spans="1:11" ht="15.75" customHeight="1">
      <c r="A356" s="500" t="s">
        <v>283</v>
      </c>
      <c r="B356" s="461" t="s">
        <v>1915</v>
      </c>
      <c r="C356" s="500" t="s">
        <v>1916</v>
      </c>
      <c r="D356" s="441" t="str">
        <f t="shared" si="8"/>
        <v>BGD Bangladesch</v>
      </c>
      <c r="E356" s="501" t="s">
        <v>1917</v>
      </c>
      <c r="F356" s="442" t="s">
        <v>1918</v>
      </c>
      <c r="G356" s="448" t="s">
        <v>1918</v>
      </c>
      <c r="H356" s="442" t="s">
        <v>1919</v>
      </c>
      <c r="I356" s="442" t="s">
        <v>282</v>
      </c>
      <c r="J356" s="502" t="s">
        <v>283</v>
      </c>
      <c r="K356" s="443" t="str">
        <f t="shared" si="9"/>
        <v/>
      </c>
    </row>
    <row r="357" spans="1:11" ht="15.75" customHeight="1">
      <c r="A357" s="500" t="s">
        <v>285</v>
      </c>
      <c r="B357" s="461" t="s">
        <v>1920</v>
      </c>
      <c r="C357" s="500" t="s">
        <v>1921</v>
      </c>
      <c r="D357" s="441" t="str">
        <f t="shared" si="8"/>
        <v>BGR Bulgarien</v>
      </c>
      <c r="E357" s="501" t="s">
        <v>1922</v>
      </c>
      <c r="F357" s="442" t="s">
        <v>1923</v>
      </c>
      <c r="G357" s="448" t="s">
        <v>1923</v>
      </c>
      <c r="H357" s="442" t="s">
        <v>284</v>
      </c>
      <c r="I357" s="442" t="s">
        <v>1924</v>
      </c>
      <c r="J357" s="502" t="s">
        <v>285</v>
      </c>
      <c r="K357" s="443" t="str">
        <f t="shared" si="9"/>
        <v/>
      </c>
    </row>
    <row r="358" spans="1:11" ht="15.75" customHeight="1">
      <c r="A358" s="500" t="s">
        <v>287</v>
      </c>
      <c r="B358" s="461" t="s">
        <v>1925</v>
      </c>
      <c r="C358" s="500" t="s">
        <v>1926</v>
      </c>
      <c r="D358" s="441" t="str">
        <f t="shared" si="8"/>
        <v>BHR Bahrain</v>
      </c>
      <c r="E358" s="501" t="s">
        <v>286</v>
      </c>
      <c r="F358" s="442" t="s">
        <v>1927</v>
      </c>
      <c r="G358" s="448" t="s">
        <v>1927</v>
      </c>
      <c r="H358" s="442" t="s">
        <v>1928</v>
      </c>
      <c r="I358" s="442" t="s">
        <v>1929</v>
      </c>
      <c r="J358" s="502" t="s">
        <v>287</v>
      </c>
      <c r="K358" s="443" t="str">
        <f t="shared" si="9"/>
        <v/>
      </c>
    </row>
    <row r="359" spans="1:11" ht="15.75" customHeight="1">
      <c r="A359" s="500" t="s">
        <v>289</v>
      </c>
      <c r="B359" s="461" t="s">
        <v>1930</v>
      </c>
      <c r="C359" s="500" t="s">
        <v>1931</v>
      </c>
      <c r="D359" s="441" t="str">
        <f t="shared" si="8"/>
        <v>BHS Bahamas</v>
      </c>
      <c r="E359" s="501" t="s">
        <v>1932</v>
      </c>
      <c r="F359" s="442" t="s">
        <v>1933</v>
      </c>
      <c r="G359" s="448" t="s">
        <v>1933</v>
      </c>
      <c r="H359" s="442" t="s">
        <v>1932</v>
      </c>
      <c r="I359" s="442" t="s">
        <v>1932</v>
      </c>
      <c r="J359" s="502" t="s">
        <v>289</v>
      </c>
      <c r="K359" s="443" t="str">
        <f t="shared" si="9"/>
        <v/>
      </c>
    </row>
    <row r="360" spans="1:11" ht="15.75" customHeight="1">
      <c r="A360" s="500" t="s">
        <v>291</v>
      </c>
      <c r="B360" s="461" t="s">
        <v>1934</v>
      </c>
      <c r="C360" s="500" t="s">
        <v>1935</v>
      </c>
      <c r="D360" s="441" t="str">
        <f t="shared" si="8"/>
        <v>BIH Bosnien und Herzegowina</v>
      </c>
      <c r="E360" s="501" t="s">
        <v>1936</v>
      </c>
      <c r="F360" s="442" t="s">
        <v>1937</v>
      </c>
      <c r="G360" s="448" t="s">
        <v>1938</v>
      </c>
      <c r="H360" s="442" t="s">
        <v>1939</v>
      </c>
      <c r="I360" s="442" t="s">
        <v>1940</v>
      </c>
      <c r="J360" s="502" t="s">
        <v>291</v>
      </c>
      <c r="K360" s="443" t="str">
        <f t="shared" si="9"/>
        <v/>
      </c>
    </row>
    <row r="361" spans="1:11" ht="15.75" customHeight="1">
      <c r="A361" s="500" t="s">
        <v>293</v>
      </c>
      <c r="B361" s="461" t="s">
        <v>1941</v>
      </c>
      <c r="C361" s="500" t="s">
        <v>1942</v>
      </c>
      <c r="D361" s="441" t="str">
        <f t="shared" si="8"/>
        <v>BLR Belarus</v>
      </c>
      <c r="E361" s="501" t="s">
        <v>292</v>
      </c>
      <c r="F361" s="442" t="s">
        <v>1943</v>
      </c>
      <c r="G361" s="448" t="s">
        <v>1944</v>
      </c>
      <c r="H361" s="442" t="s">
        <v>1945</v>
      </c>
      <c r="I361" s="442" t="s">
        <v>1946</v>
      </c>
      <c r="J361" s="502" t="s">
        <v>293</v>
      </c>
      <c r="K361" s="443" t="str">
        <f t="shared" si="9"/>
        <v/>
      </c>
    </row>
    <row r="362" spans="1:11" ht="15.75" customHeight="1">
      <c r="A362" s="500" t="s">
        <v>295</v>
      </c>
      <c r="B362" s="461" t="s">
        <v>1947</v>
      </c>
      <c r="C362" s="500" t="s">
        <v>1948</v>
      </c>
      <c r="D362" s="441" t="str">
        <f t="shared" si="8"/>
        <v>BLZ Belize</v>
      </c>
      <c r="E362" s="501" t="s">
        <v>294</v>
      </c>
      <c r="F362" s="442" t="s">
        <v>1949</v>
      </c>
      <c r="G362" s="448" t="s">
        <v>1949</v>
      </c>
      <c r="H362" s="442" t="s">
        <v>1950</v>
      </c>
      <c r="I362" s="442" t="s">
        <v>294</v>
      </c>
      <c r="J362" s="502" t="s">
        <v>295</v>
      </c>
      <c r="K362" s="443" t="str">
        <f t="shared" si="9"/>
        <v/>
      </c>
    </row>
    <row r="363" spans="1:11" ht="15.75" customHeight="1">
      <c r="A363" s="500" t="s">
        <v>297</v>
      </c>
      <c r="B363" s="461" t="s">
        <v>1951</v>
      </c>
      <c r="C363" s="500" t="s">
        <v>1952</v>
      </c>
      <c r="D363" s="441" t="str">
        <f t="shared" si="8"/>
        <v>BMU Bermuda</v>
      </c>
      <c r="E363" s="501" t="s">
        <v>296</v>
      </c>
      <c r="F363" s="442" t="s">
        <v>1953</v>
      </c>
      <c r="G363" s="448" t="s">
        <v>1953</v>
      </c>
      <c r="H363" s="442" t="s">
        <v>1954</v>
      </c>
      <c r="I363" s="442" t="s">
        <v>1955</v>
      </c>
      <c r="J363" s="502" t="s">
        <v>297</v>
      </c>
      <c r="K363" s="443" t="str">
        <f t="shared" si="9"/>
        <v/>
      </c>
    </row>
    <row r="364" spans="1:11" ht="15.75" customHeight="1">
      <c r="A364" s="500" t="s">
        <v>299</v>
      </c>
      <c r="B364" s="461" t="s">
        <v>1956</v>
      </c>
      <c r="C364" s="500" t="s">
        <v>1957</v>
      </c>
      <c r="D364" s="441" t="str">
        <f t="shared" si="8"/>
        <v>BOL Bolivien</v>
      </c>
      <c r="E364" s="501" t="s">
        <v>1958</v>
      </c>
      <c r="F364" s="442" t="s">
        <v>1959</v>
      </c>
      <c r="G364" s="448" t="s">
        <v>1960</v>
      </c>
      <c r="H364" s="442" t="s">
        <v>298</v>
      </c>
      <c r="I364" s="442" t="s">
        <v>1961</v>
      </c>
      <c r="J364" s="502" t="s">
        <v>299</v>
      </c>
      <c r="K364" s="443" t="str">
        <f t="shared" si="9"/>
        <v/>
      </c>
    </row>
    <row r="365" spans="1:11" ht="15.75" customHeight="1">
      <c r="A365" s="500" t="s">
        <v>301</v>
      </c>
      <c r="B365" s="461" t="s">
        <v>1962</v>
      </c>
      <c r="C365" s="500" t="s">
        <v>1963</v>
      </c>
      <c r="D365" s="441" t="str">
        <f t="shared" si="8"/>
        <v>BRA Brasilien</v>
      </c>
      <c r="E365" s="501" t="s">
        <v>1964</v>
      </c>
      <c r="F365" s="442" t="s">
        <v>1965</v>
      </c>
      <c r="G365" s="448" t="s">
        <v>1966</v>
      </c>
      <c r="H365" s="442" t="s">
        <v>1967</v>
      </c>
      <c r="I365" s="442" t="s">
        <v>1968</v>
      </c>
      <c r="J365" s="502" t="s">
        <v>301</v>
      </c>
      <c r="K365" s="443" t="str">
        <f t="shared" si="9"/>
        <v/>
      </c>
    </row>
    <row r="366" spans="1:11" ht="15.75" customHeight="1">
      <c r="A366" s="500" t="s">
        <v>303</v>
      </c>
      <c r="B366" s="461" t="s">
        <v>1969</v>
      </c>
      <c r="C366" s="500" t="s">
        <v>1970</v>
      </c>
      <c r="D366" s="441" t="str">
        <f t="shared" si="8"/>
        <v>BRB Barbados</v>
      </c>
      <c r="E366" s="501" t="s">
        <v>302</v>
      </c>
      <c r="F366" s="442" t="s">
        <v>1971</v>
      </c>
      <c r="G366" s="448" t="s">
        <v>1971</v>
      </c>
      <c r="H366" s="442" t="s">
        <v>302</v>
      </c>
      <c r="I366" s="442" t="s">
        <v>1972</v>
      </c>
      <c r="J366" s="502" t="s">
        <v>303</v>
      </c>
      <c r="K366" s="443" t="str">
        <f t="shared" si="9"/>
        <v/>
      </c>
    </row>
    <row r="367" spans="1:11" ht="15.75" customHeight="1">
      <c r="A367" s="500" t="s">
        <v>305</v>
      </c>
      <c r="B367" s="461" t="s">
        <v>1973</v>
      </c>
      <c r="C367" s="500" t="s">
        <v>1974</v>
      </c>
      <c r="D367" s="441" t="str">
        <f t="shared" si="8"/>
        <v>BRN Brunei Darussalam</v>
      </c>
      <c r="E367" s="501" t="s">
        <v>304</v>
      </c>
      <c r="F367" s="442" t="s">
        <v>1975</v>
      </c>
      <c r="G367" s="448" t="s">
        <v>1976</v>
      </c>
      <c r="H367" s="442" t="s">
        <v>1977</v>
      </c>
      <c r="I367" s="442" t="s">
        <v>1978</v>
      </c>
      <c r="J367" s="502" t="s">
        <v>305</v>
      </c>
      <c r="K367" s="443" t="str">
        <f t="shared" si="9"/>
        <v/>
      </c>
    </row>
    <row r="368" spans="1:11" ht="15.75" customHeight="1">
      <c r="A368" s="500" t="s">
        <v>307</v>
      </c>
      <c r="B368" s="461" t="s">
        <v>1979</v>
      </c>
      <c r="C368" s="500" t="s">
        <v>1980</v>
      </c>
      <c r="D368" s="441" t="str">
        <f t="shared" si="8"/>
        <v>BTN Bhutan</v>
      </c>
      <c r="E368" s="501" t="s">
        <v>306</v>
      </c>
      <c r="F368" s="442" t="s">
        <v>1981</v>
      </c>
      <c r="G368" s="448" t="s">
        <v>1981</v>
      </c>
      <c r="H368" s="442" t="s">
        <v>1982</v>
      </c>
      <c r="I368" s="442" t="s">
        <v>1983</v>
      </c>
      <c r="J368" s="502" t="s">
        <v>307</v>
      </c>
      <c r="K368" s="443" t="str">
        <f t="shared" si="9"/>
        <v/>
      </c>
    </row>
    <row r="369" spans="1:11" ht="15.75" customHeight="1">
      <c r="A369" s="500" t="s">
        <v>309</v>
      </c>
      <c r="B369" s="461" t="s">
        <v>1984</v>
      </c>
      <c r="C369" s="500" t="s">
        <v>1985</v>
      </c>
      <c r="D369" s="441" t="str">
        <f t="shared" si="8"/>
        <v>BWA Botswana</v>
      </c>
      <c r="E369" s="501" t="s">
        <v>308</v>
      </c>
      <c r="F369" s="442" t="s">
        <v>1986</v>
      </c>
      <c r="G369" s="448" t="s">
        <v>1986</v>
      </c>
      <c r="H369" s="442" t="s">
        <v>1987</v>
      </c>
      <c r="I369" s="442" t="s">
        <v>308</v>
      </c>
      <c r="J369" s="502" t="s">
        <v>309</v>
      </c>
      <c r="K369" s="443" t="str">
        <f t="shared" si="9"/>
        <v/>
      </c>
    </row>
    <row r="370" spans="1:11" ht="15.75" customHeight="1">
      <c r="A370" s="500" t="s">
        <v>311</v>
      </c>
      <c r="B370" s="461" t="s">
        <v>1988</v>
      </c>
      <c r="C370" s="500" t="s">
        <v>1989</v>
      </c>
      <c r="D370" s="441" t="str">
        <f t="shared" si="8"/>
        <v>CAF Zentralafrikanische Republik</v>
      </c>
      <c r="E370" s="501" t="s">
        <v>1990</v>
      </c>
      <c r="F370" s="442" t="s">
        <v>1991</v>
      </c>
      <c r="G370" s="448" t="s">
        <v>1992</v>
      </c>
      <c r="H370" s="442" t="s">
        <v>1993</v>
      </c>
      <c r="I370" s="442" t="s">
        <v>3336</v>
      </c>
      <c r="J370" s="502" t="s">
        <v>311</v>
      </c>
      <c r="K370" s="443" t="str">
        <f t="shared" si="9"/>
        <v/>
      </c>
    </row>
    <row r="371" spans="1:11" ht="15.75" customHeight="1">
      <c r="A371" s="500" t="s">
        <v>313</v>
      </c>
      <c r="B371" s="461" t="s">
        <v>1994</v>
      </c>
      <c r="C371" s="500" t="s">
        <v>1995</v>
      </c>
      <c r="D371" s="441" t="str">
        <f t="shared" si="8"/>
        <v>CAN Kanada</v>
      </c>
      <c r="E371" s="501" t="s">
        <v>1996</v>
      </c>
      <c r="F371" s="442" t="s">
        <v>1997</v>
      </c>
      <c r="G371" s="448" t="s">
        <v>1997</v>
      </c>
      <c r="H371" s="442" t="s">
        <v>1998</v>
      </c>
      <c r="I371" s="442" t="s">
        <v>312</v>
      </c>
      <c r="J371" s="502" t="s">
        <v>313</v>
      </c>
      <c r="K371" s="443" t="str">
        <f t="shared" si="9"/>
        <v/>
      </c>
    </row>
    <row r="372" spans="1:11" ht="15.75" customHeight="1">
      <c r="A372" s="500" t="s">
        <v>315</v>
      </c>
      <c r="B372" s="461" t="s">
        <v>1999</v>
      </c>
      <c r="C372" s="500" t="s">
        <v>2000</v>
      </c>
      <c r="D372" s="441" t="str">
        <f t="shared" si="8"/>
        <v>CHE Schweiz (Confoederatio Helvetica)</v>
      </c>
      <c r="E372" s="501" t="s">
        <v>2001</v>
      </c>
      <c r="F372" s="442" t="s">
        <v>2002</v>
      </c>
      <c r="G372" s="448" t="s">
        <v>2003</v>
      </c>
      <c r="H372" s="442" t="s">
        <v>2004</v>
      </c>
      <c r="I372" s="442" t="s">
        <v>3337</v>
      </c>
      <c r="J372" s="502" t="s">
        <v>315</v>
      </c>
      <c r="K372" s="443" t="str">
        <f t="shared" si="9"/>
        <v/>
      </c>
    </row>
    <row r="373" spans="1:11" ht="15.75" customHeight="1">
      <c r="A373" s="500" t="s">
        <v>317</v>
      </c>
      <c r="B373" s="461" t="s">
        <v>2005</v>
      </c>
      <c r="C373" s="500" t="s">
        <v>2006</v>
      </c>
      <c r="D373" s="441" t="str">
        <f t="shared" si="8"/>
        <v>CHL Chile</v>
      </c>
      <c r="E373" s="501" t="s">
        <v>316</v>
      </c>
      <c r="F373" s="442" t="s">
        <v>2007</v>
      </c>
      <c r="G373" s="448" t="s">
        <v>2008</v>
      </c>
      <c r="H373" s="442" t="s">
        <v>316</v>
      </c>
      <c r="I373" s="442" t="s">
        <v>2009</v>
      </c>
      <c r="J373" s="502" t="s">
        <v>317</v>
      </c>
      <c r="K373" s="443" t="str">
        <f t="shared" si="9"/>
        <v/>
      </c>
    </row>
    <row r="374" spans="1:11" ht="15.75" customHeight="1">
      <c r="A374" s="500" t="s">
        <v>319</v>
      </c>
      <c r="B374" s="461" t="s">
        <v>2010</v>
      </c>
      <c r="C374" s="500" t="s">
        <v>2011</v>
      </c>
      <c r="D374" s="441" t="str">
        <f t="shared" si="8"/>
        <v>CHN China, Volksrepublik</v>
      </c>
      <c r="E374" s="501" t="s">
        <v>2012</v>
      </c>
      <c r="F374" s="442" t="s">
        <v>2013</v>
      </c>
      <c r="G374" s="448" t="s">
        <v>2014</v>
      </c>
      <c r="H374" s="442" t="s">
        <v>318</v>
      </c>
      <c r="I374" s="442" t="s">
        <v>2015</v>
      </c>
      <c r="J374" s="502" t="s">
        <v>319</v>
      </c>
      <c r="K374" s="443" t="str">
        <f t="shared" si="9"/>
        <v/>
      </c>
    </row>
    <row r="375" spans="1:11" ht="15.75" customHeight="1">
      <c r="A375" s="500" t="s">
        <v>321</v>
      </c>
      <c r="B375" s="461" t="s">
        <v>2016</v>
      </c>
      <c r="C375" s="500" t="s">
        <v>2017</v>
      </c>
      <c r="D375" s="441" t="str">
        <f t="shared" si="8"/>
        <v>CIV Côte d’Ivoire (Elfenbeinküste)</v>
      </c>
      <c r="E375" s="501" t="s">
        <v>2018</v>
      </c>
      <c r="F375" s="442" t="s">
        <v>2019</v>
      </c>
      <c r="G375" s="448" t="s">
        <v>2020</v>
      </c>
      <c r="H375" s="442" t="s">
        <v>2021</v>
      </c>
      <c r="I375" s="442" t="s">
        <v>2022</v>
      </c>
      <c r="J375" s="502" t="s">
        <v>321</v>
      </c>
      <c r="K375" s="443" t="str">
        <f t="shared" si="9"/>
        <v/>
      </c>
    </row>
    <row r="376" spans="1:11" ht="15.75" customHeight="1">
      <c r="A376" s="500" t="s">
        <v>323</v>
      </c>
      <c r="B376" s="461" t="s">
        <v>2023</v>
      </c>
      <c r="C376" s="500" t="s">
        <v>2024</v>
      </c>
      <c r="D376" s="441" t="str">
        <f t="shared" si="8"/>
        <v>CMR Kamerun</v>
      </c>
      <c r="E376" s="501" t="s">
        <v>2025</v>
      </c>
      <c r="F376" s="442" t="s">
        <v>2026</v>
      </c>
      <c r="G376" s="448" t="s">
        <v>2027</v>
      </c>
      <c r="H376" s="442" t="s">
        <v>2028</v>
      </c>
      <c r="I376" s="442" t="s">
        <v>2029</v>
      </c>
      <c r="J376" s="502" t="s">
        <v>323</v>
      </c>
      <c r="K376" s="443" t="str">
        <f t="shared" si="9"/>
        <v/>
      </c>
    </row>
    <row r="377" spans="1:11" ht="15.75" customHeight="1">
      <c r="A377" s="500" t="s">
        <v>325</v>
      </c>
      <c r="B377" s="461" t="s">
        <v>2030</v>
      </c>
      <c r="C377" s="500" t="s">
        <v>2031</v>
      </c>
      <c r="D377" s="441" t="str">
        <f t="shared" si="8"/>
        <v>COD Kongo, Demokratische Republik (ehem. Zaire)</v>
      </c>
      <c r="E377" s="501" t="s">
        <v>2032</v>
      </c>
      <c r="F377" s="442" t="s">
        <v>2033</v>
      </c>
      <c r="G377" s="448" t="s">
        <v>2034</v>
      </c>
      <c r="H377" s="442" t="s">
        <v>2035</v>
      </c>
      <c r="I377" s="442" t="s">
        <v>2036</v>
      </c>
      <c r="J377" s="502" t="s">
        <v>325</v>
      </c>
      <c r="K377" s="443" t="str">
        <f t="shared" si="9"/>
        <v/>
      </c>
    </row>
    <row r="378" spans="1:11" ht="15.75" customHeight="1">
      <c r="A378" s="500" t="s">
        <v>327</v>
      </c>
      <c r="B378" s="461" t="s">
        <v>2037</v>
      </c>
      <c r="C378" s="500" t="s">
        <v>2038</v>
      </c>
      <c r="D378" s="441" t="str">
        <f t="shared" si="8"/>
        <v>COG Republik Kongo</v>
      </c>
      <c r="E378" s="501" t="s">
        <v>2039</v>
      </c>
      <c r="F378" s="442" t="s">
        <v>2040</v>
      </c>
      <c r="G378" s="448" t="s">
        <v>2041</v>
      </c>
      <c r="H378" s="442" t="s">
        <v>2042</v>
      </c>
      <c r="I378" s="442" t="s">
        <v>2043</v>
      </c>
      <c r="J378" s="502" t="s">
        <v>327</v>
      </c>
      <c r="K378" s="443" t="str">
        <f t="shared" si="9"/>
        <v/>
      </c>
    </row>
    <row r="379" spans="1:11" ht="15.75" customHeight="1">
      <c r="A379" s="500" t="s">
        <v>329</v>
      </c>
      <c r="B379" s="461" t="s">
        <v>2044</v>
      </c>
      <c r="C379" s="500" t="s">
        <v>2045</v>
      </c>
      <c r="D379" s="441" t="str">
        <f t="shared" si="8"/>
        <v>COL Kolumbien</v>
      </c>
      <c r="E379" s="501" t="s">
        <v>2046</v>
      </c>
      <c r="F379" s="442" t="s">
        <v>2047</v>
      </c>
      <c r="G379" s="448" t="s">
        <v>2047</v>
      </c>
      <c r="H379" s="442" t="s">
        <v>328</v>
      </c>
      <c r="I379" s="442" t="s">
        <v>2048</v>
      </c>
      <c r="J379" s="502" t="s">
        <v>329</v>
      </c>
      <c r="K379" s="443" t="str">
        <f t="shared" si="9"/>
        <v/>
      </c>
    </row>
    <row r="380" spans="1:11" ht="15.75" customHeight="1">
      <c r="A380" s="500" t="s">
        <v>331</v>
      </c>
      <c r="B380" s="461" t="s">
        <v>2049</v>
      </c>
      <c r="C380" s="500" t="s">
        <v>2050</v>
      </c>
      <c r="D380" s="441" t="str">
        <f t="shared" si="8"/>
        <v>COM Komoren</v>
      </c>
      <c r="E380" s="501" t="s">
        <v>2051</v>
      </c>
      <c r="F380" s="442" t="s">
        <v>2052</v>
      </c>
      <c r="G380" s="448" t="s">
        <v>2053</v>
      </c>
      <c r="H380" s="442" t="s">
        <v>2054</v>
      </c>
      <c r="I380" s="442" t="s">
        <v>2055</v>
      </c>
      <c r="J380" s="502" t="s">
        <v>331</v>
      </c>
      <c r="K380" s="443" t="str">
        <f t="shared" si="9"/>
        <v/>
      </c>
    </row>
    <row r="381" spans="1:11" ht="15.75" customHeight="1">
      <c r="A381" s="500" t="s">
        <v>333</v>
      </c>
      <c r="B381" s="461" t="s">
        <v>2056</v>
      </c>
      <c r="C381" s="500" t="s">
        <v>2057</v>
      </c>
      <c r="D381" s="441" t="str">
        <f t="shared" si="8"/>
        <v>CPV Kap Verde</v>
      </c>
      <c r="E381" s="501" t="s">
        <v>2058</v>
      </c>
      <c r="F381" s="442" t="s">
        <v>2059</v>
      </c>
      <c r="G381" s="448" t="s">
        <v>2060</v>
      </c>
      <c r="H381" s="442" t="s">
        <v>332</v>
      </c>
      <c r="I381" s="442" t="s">
        <v>2061</v>
      </c>
      <c r="J381" s="502" t="s">
        <v>333</v>
      </c>
      <c r="K381" s="443" t="str">
        <f t="shared" si="9"/>
        <v/>
      </c>
    </row>
    <row r="382" spans="1:11" ht="15.75" customHeight="1">
      <c r="A382" s="500" t="s">
        <v>335</v>
      </c>
      <c r="B382" s="461" t="s">
        <v>2062</v>
      </c>
      <c r="C382" s="500" t="s">
        <v>2063</v>
      </c>
      <c r="D382" s="441" t="str">
        <f t="shared" si="8"/>
        <v>CRI Costa Rica</v>
      </c>
      <c r="E382" s="501" t="s">
        <v>334</v>
      </c>
      <c r="F382" s="442" t="s">
        <v>2064</v>
      </c>
      <c r="G382" s="448" t="s">
        <v>2064</v>
      </c>
      <c r="H382" s="442" t="s">
        <v>334</v>
      </c>
      <c r="I382" s="442" t="s">
        <v>334</v>
      </c>
      <c r="J382" s="502" t="s">
        <v>335</v>
      </c>
      <c r="K382" s="443" t="str">
        <f t="shared" si="9"/>
        <v/>
      </c>
    </row>
    <row r="383" spans="1:11" ht="15.75" customHeight="1">
      <c r="A383" s="500" t="s">
        <v>337</v>
      </c>
      <c r="B383" s="461" t="s">
        <v>2065</v>
      </c>
      <c r="C383" s="500" t="s">
        <v>2066</v>
      </c>
      <c r="D383" s="441" t="str">
        <f t="shared" si="8"/>
        <v>CUB Kuba</v>
      </c>
      <c r="E383" s="501" t="s">
        <v>2067</v>
      </c>
      <c r="F383" s="442" t="s">
        <v>2068</v>
      </c>
      <c r="G383" s="448" t="s">
        <v>2068</v>
      </c>
      <c r="H383" s="442" t="s">
        <v>336</v>
      </c>
      <c r="I383" s="442" t="s">
        <v>336</v>
      </c>
      <c r="J383" s="502" t="s">
        <v>337</v>
      </c>
      <c r="K383" s="443" t="str">
        <f t="shared" si="9"/>
        <v/>
      </c>
    </row>
    <row r="384" spans="1:11" ht="15.75" customHeight="1">
      <c r="A384" s="500" t="s">
        <v>339</v>
      </c>
      <c r="B384" s="461" t="s">
        <v>2069</v>
      </c>
      <c r="C384" s="500" t="s">
        <v>2070</v>
      </c>
      <c r="D384" s="441" t="str">
        <f t="shared" si="8"/>
        <v>CUW Curaçao</v>
      </c>
      <c r="E384" s="439" t="s">
        <v>2071</v>
      </c>
      <c r="F384" s="442" t="s">
        <v>2072</v>
      </c>
      <c r="G384" s="448" t="s">
        <v>2072</v>
      </c>
      <c r="H384" s="442" t="s">
        <v>2073</v>
      </c>
      <c r="I384" s="442" t="s">
        <v>2071</v>
      </c>
      <c r="J384" s="502" t="s">
        <v>339</v>
      </c>
      <c r="K384" s="443" t="str">
        <f t="shared" si="9"/>
        <v/>
      </c>
    </row>
    <row r="385" spans="1:11" ht="15.75" customHeight="1">
      <c r="A385" s="500" t="s">
        <v>341</v>
      </c>
      <c r="B385" s="461" t="s">
        <v>2074</v>
      </c>
      <c r="C385" s="500" t="s">
        <v>2075</v>
      </c>
      <c r="D385" s="441" t="str">
        <f t="shared" si="8"/>
        <v>CYM Kaimaninseln</v>
      </c>
      <c r="E385" s="501" t="s">
        <v>2076</v>
      </c>
      <c r="F385" s="442" t="s">
        <v>2077</v>
      </c>
      <c r="G385" s="448" t="s">
        <v>2078</v>
      </c>
      <c r="H385" s="442" t="s">
        <v>2079</v>
      </c>
      <c r="I385" s="442" t="s">
        <v>2080</v>
      </c>
      <c r="J385" s="502" t="s">
        <v>341</v>
      </c>
      <c r="K385" s="443" t="str">
        <f t="shared" si="9"/>
        <v/>
      </c>
    </row>
    <row r="386" spans="1:11" ht="15.75" customHeight="1">
      <c r="A386" s="500" t="s">
        <v>343</v>
      </c>
      <c r="B386" s="461" t="s">
        <v>2081</v>
      </c>
      <c r="C386" s="500" t="s">
        <v>2082</v>
      </c>
      <c r="D386" s="441" t="str">
        <f t="shared" si="8"/>
        <v>CYP Zypern</v>
      </c>
      <c r="E386" s="501" t="s">
        <v>2083</v>
      </c>
      <c r="F386" s="442" t="s">
        <v>2084</v>
      </c>
      <c r="G386" s="448" t="s">
        <v>2085</v>
      </c>
      <c r="H386" s="442" t="s">
        <v>2086</v>
      </c>
      <c r="I386" s="442" t="s">
        <v>2087</v>
      </c>
      <c r="J386" s="502" t="s">
        <v>343</v>
      </c>
      <c r="K386" s="443" t="str">
        <f t="shared" si="9"/>
        <v/>
      </c>
    </row>
    <row r="387" spans="1:11" ht="15.75" customHeight="1">
      <c r="A387" s="500" t="s">
        <v>345</v>
      </c>
      <c r="B387" s="461" t="s">
        <v>2088</v>
      </c>
      <c r="C387" s="500" t="s">
        <v>2089</v>
      </c>
      <c r="D387" s="441" t="str">
        <f t="shared" si="8"/>
        <v>CZE Tschechische Republik</v>
      </c>
      <c r="E387" s="501" t="s">
        <v>2090</v>
      </c>
      <c r="F387" s="442" t="s">
        <v>2091</v>
      </c>
      <c r="G387" s="448" t="s">
        <v>2092</v>
      </c>
      <c r="H387" s="442" t="s">
        <v>2093</v>
      </c>
      <c r="I387" s="442" t="s">
        <v>2094</v>
      </c>
      <c r="J387" s="502" t="s">
        <v>345</v>
      </c>
      <c r="K387" s="443" t="str">
        <f t="shared" si="9"/>
        <v/>
      </c>
    </row>
    <row r="388" spans="1:11" ht="15.75" customHeight="1">
      <c r="A388" s="500" t="s">
        <v>347</v>
      </c>
      <c r="B388" s="461" t="s">
        <v>2095</v>
      </c>
      <c r="C388" s="500" t="s">
        <v>2096</v>
      </c>
      <c r="D388" s="441" t="str">
        <f t="shared" si="8"/>
        <v>DEU Deutschland</v>
      </c>
      <c r="E388" s="501" t="s">
        <v>2097</v>
      </c>
      <c r="F388" s="442" t="s">
        <v>2098</v>
      </c>
      <c r="G388" s="448" t="s">
        <v>2099</v>
      </c>
      <c r="H388" s="442" t="s">
        <v>2100</v>
      </c>
      <c r="I388" s="442" t="s">
        <v>2101</v>
      </c>
      <c r="J388" s="502" t="s">
        <v>347</v>
      </c>
      <c r="K388" s="443" t="str">
        <f t="shared" si="9"/>
        <v/>
      </c>
    </row>
    <row r="389" spans="1:11" ht="15.75" customHeight="1">
      <c r="A389" s="500" t="s">
        <v>349</v>
      </c>
      <c r="B389" s="461" t="s">
        <v>2102</v>
      </c>
      <c r="C389" s="500" t="s">
        <v>2103</v>
      </c>
      <c r="D389" s="441" t="str">
        <f t="shared" si="8"/>
        <v>DJI Dschibuti</v>
      </c>
      <c r="E389" s="501" t="s">
        <v>2104</v>
      </c>
      <c r="F389" s="442" t="s">
        <v>2105</v>
      </c>
      <c r="G389" s="448" t="s">
        <v>2106</v>
      </c>
      <c r="H389" s="442" t="s">
        <v>2107</v>
      </c>
      <c r="I389" s="442" t="s">
        <v>348</v>
      </c>
      <c r="J389" s="502" t="s">
        <v>349</v>
      </c>
      <c r="K389" s="443" t="str">
        <f t="shared" si="9"/>
        <v/>
      </c>
    </row>
    <row r="390" spans="1:11" ht="15.75" customHeight="1">
      <c r="A390" s="500" t="s">
        <v>351</v>
      </c>
      <c r="B390" s="461" t="s">
        <v>2108</v>
      </c>
      <c r="C390" s="500" t="s">
        <v>2109</v>
      </c>
      <c r="D390" s="441" t="str">
        <f t="shared" si="8"/>
        <v>DMA Dominica</v>
      </c>
      <c r="E390" s="501" t="s">
        <v>350</v>
      </c>
      <c r="F390" s="442" t="s">
        <v>2110</v>
      </c>
      <c r="G390" s="448" t="s">
        <v>2110</v>
      </c>
      <c r="H390" s="442" t="s">
        <v>350</v>
      </c>
      <c r="I390" s="442" t="s">
        <v>2111</v>
      </c>
      <c r="J390" s="502" t="s">
        <v>351</v>
      </c>
      <c r="K390" s="443" t="str">
        <f t="shared" si="9"/>
        <v/>
      </c>
    </row>
    <row r="391" spans="1:11" ht="15.75" customHeight="1">
      <c r="A391" s="500" t="s">
        <v>353</v>
      </c>
      <c r="B391" s="461" t="s">
        <v>2112</v>
      </c>
      <c r="C391" s="500" t="s">
        <v>2113</v>
      </c>
      <c r="D391" s="441" t="str">
        <f t="shared" si="8"/>
        <v>DNK Dänemark</v>
      </c>
      <c r="E391" s="501" t="s">
        <v>2114</v>
      </c>
      <c r="F391" s="442" t="s">
        <v>2115</v>
      </c>
      <c r="G391" s="448" t="s">
        <v>2116</v>
      </c>
      <c r="H391" s="442" t="s">
        <v>2117</v>
      </c>
      <c r="I391" s="442" t="s">
        <v>2118</v>
      </c>
      <c r="J391" s="502" t="s">
        <v>353</v>
      </c>
      <c r="K391" s="443" t="str">
        <f t="shared" si="9"/>
        <v/>
      </c>
    </row>
    <row r="392" spans="1:11" ht="15.75" customHeight="1">
      <c r="A392" s="500" t="s">
        <v>355</v>
      </c>
      <c r="B392" s="461" t="s">
        <v>2119</v>
      </c>
      <c r="C392" s="500" t="s">
        <v>2120</v>
      </c>
      <c r="D392" s="441" t="str">
        <f t="shared" si="8"/>
        <v>DOM Dominikanische Republik</v>
      </c>
      <c r="E392" s="501" t="s">
        <v>2121</v>
      </c>
      <c r="F392" s="442" t="s">
        <v>2122</v>
      </c>
      <c r="G392" s="448" t="s">
        <v>2123</v>
      </c>
      <c r="H392" s="442" t="s">
        <v>2124</v>
      </c>
      <c r="I392" s="442" t="s">
        <v>2125</v>
      </c>
      <c r="J392" s="502" t="s">
        <v>355</v>
      </c>
      <c r="K392" s="443" t="str">
        <f t="shared" si="9"/>
        <v/>
      </c>
    </row>
    <row r="393" spans="1:11" ht="15.75" customHeight="1">
      <c r="A393" s="500" t="s">
        <v>357</v>
      </c>
      <c r="B393" s="461" t="s">
        <v>2126</v>
      </c>
      <c r="C393" s="500" t="s">
        <v>2127</v>
      </c>
      <c r="D393" s="441" t="str">
        <f t="shared" si="8"/>
        <v>DZA Algerien</v>
      </c>
      <c r="E393" s="501" t="s">
        <v>2128</v>
      </c>
      <c r="F393" s="442" t="s">
        <v>2129</v>
      </c>
      <c r="G393" s="448" t="s">
        <v>2129</v>
      </c>
      <c r="H393" s="442" t="s">
        <v>2130</v>
      </c>
      <c r="I393" s="442" t="s">
        <v>2131</v>
      </c>
      <c r="J393" s="502" t="s">
        <v>357</v>
      </c>
      <c r="K393" s="443" t="str">
        <f t="shared" si="9"/>
        <v/>
      </c>
    </row>
    <row r="394" spans="1:11" ht="15.75" customHeight="1">
      <c r="A394" s="500" t="s">
        <v>359</v>
      </c>
      <c r="B394" s="461" t="s">
        <v>2132</v>
      </c>
      <c r="C394" s="500" t="s">
        <v>2133</v>
      </c>
      <c r="D394" s="441" t="str">
        <f t="shared" si="8"/>
        <v>ECU Ecuador</v>
      </c>
      <c r="E394" s="501" t="s">
        <v>358</v>
      </c>
      <c r="F394" s="442" t="s">
        <v>2134</v>
      </c>
      <c r="G394" s="448" t="s">
        <v>2134</v>
      </c>
      <c r="H394" s="442" t="s">
        <v>358</v>
      </c>
      <c r="I394" s="442" t="s">
        <v>2135</v>
      </c>
      <c r="J394" s="502" t="s">
        <v>359</v>
      </c>
      <c r="K394" s="443" t="str">
        <f t="shared" si="9"/>
        <v/>
      </c>
    </row>
    <row r="395" spans="1:11" ht="15.75" customHeight="1">
      <c r="A395" s="500" t="s">
        <v>361</v>
      </c>
      <c r="B395" s="461" t="s">
        <v>2136</v>
      </c>
      <c r="C395" s="500" t="s">
        <v>2137</v>
      </c>
      <c r="D395" s="441" t="str">
        <f t="shared" si="8"/>
        <v>EGY Ägypten</v>
      </c>
      <c r="E395" s="501" t="s">
        <v>2138</v>
      </c>
      <c r="F395" s="442" t="s">
        <v>2139</v>
      </c>
      <c r="G395" s="448" t="s">
        <v>2140</v>
      </c>
      <c r="H395" s="442" t="s">
        <v>2141</v>
      </c>
      <c r="I395" s="442" t="s">
        <v>2142</v>
      </c>
      <c r="J395" s="502" t="s">
        <v>361</v>
      </c>
      <c r="K395" s="443" t="str">
        <f t="shared" si="9"/>
        <v/>
      </c>
    </row>
    <row r="396" spans="1:11" ht="15.75" customHeight="1">
      <c r="A396" s="500" t="s">
        <v>363</v>
      </c>
      <c r="B396" s="461" t="s">
        <v>2143</v>
      </c>
      <c r="C396" s="500" t="s">
        <v>2144</v>
      </c>
      <c r="D396" s="441" t="str">
        <f t="shared" si="8"/>
        <v>ERI Eritrea</v>
      </c>
      <c r="E396" s="501" t="s">
        <v>362</v>
      </c>
      <c r="F396" s="442" t="s">
        <v>2145</v>
      </c>
      <c r="G396" s="448" t="s">
        <v>2145</v>
      </c>
      <c r="H396" s="442" t="s">
        <v>362</v>
      </c>
      <c r="I396" s="442" t="s">
        <v>2146</v>
      </c>
      <c r="J396" s="502" t="s">
        <v>363</v>
      </c>
      <c r="K396" s="443" t="str">
        <f t="shared" si="9"/>
        <v/>
      </c>
    </row>
    <row r="397" spans="1:11" ht="15.75" customHeight="1">
      <c r="A397" s="500" t="s">
        <v>365</v>
      </c>
      <c r="B397" s="461" t="s">
        <v>2147</v>
      </c>
      <c r="C397" s="500" t="s">
        <v>2148</v>
      </c>
      <c r="D397" s="441" t="str">
        <f t="shared" si="8"/>
        <v>ESP Spanien</v>
      </c>
      <c r="E397" s="501" t="s">
        <v>2149</v>
      </c>
      <c r="F397" s="442" t="s">
        <v>2150</v>
      </c>
      <c r="G397" s="448" t="s">
        <v>2151</v>
      </c>
      <c r="H397" s="442" t="s">
        <v>2152</v>
      </c>
      <c r="I397" s="442" t="s">
        <v>2153</v>
      </c>
      <c r="J397" s="502" t="s">
        <v>365</v>
      </c>
      <c r="K397" s="443" t="str">
        <f t="shared" si="9"/>
        <v/>
      </c>
    </row>
    <row r="398" spans="1:11" ht="15.75" customHeight="1">
      <c r="A398" s="500" t="s">
        <v>367</v>
      </c>
      <c r="B398" s="461" t="s">
        <v>2154</v>
      </c>
      <c r="C398" s="500" t="s">
        <v>2155</v>
      </c>
      <c r="D398" s="441" t="str">
        <f t="shared" si="8"/>
        <v>EST Estland</v>
      </c>
      <c r="E398" s="501" t="s">
        <v>2156</v>
      </c>
      <c r="F398" s="442" t="s">
        <v>2157</v>
      </c>
      <c r="G398" s="448" t="s">
        <v>2157</v>
      </c>
      <c r="H398" s="442" t="s">
        <v>366</v>
      </c>
      <c r="I398" s="442" t="s">
        <v>2158</v>
      </c>
      <c r="J398" s="502" t="s">
        <v>367</v>
      </c>
      <c r="K398" s="443" t="str">
        <f t="shared" si="9"/>
        <v/>
      </c>
    </row>
    <row r="399" spans="1:11" ht="15.75" customHeight="1">
      <c r="A399" s="500" t="s">
        <v>369</v>
      </c>
      <c r="B399" s="461" t="s">
        <v>2159</v>
      </c>
      <c r="C399" s="500" t="s">
        <v>2160</v>
      </c>
      <c r="D399" s="441" t="str">
        <f t="shared" si="8"/>
        <v>ETH Äthiopien</v>
      </c>
      <c r="E399" s="501" t="s">
        <v>2161</v>
      </c>
      <c r="F399" s="442" t="s">
        <v>2162</v>
      </c>
      <c r="G399" s="448" t="s">
        <v>2163</v>
      </c>
      <c r="H399" s="442" t="s">
        <v>2164</v>
      </c>
      <c r="I399" s="442" t="s">
        <v>2165</v>
      </c>
      <c r="J399" s="502" t="s">
        <v>369</v>
      </c>
      <c r="K399" s="443" t="str">
        <f t="shared" si="9"/>
        <v/>
      </c>
    </row>
    <row r="400" spans="1:11" ht="15.75" customHeight="1">
      <c r="A400" s="500" t="s">
        <v>371</v>
      </c>
      <c r="B400" s="461" t="s">
        <v>2166</v>
      </c>
      <c r="C400" s="500" t="s">
        <v>2167</v>
      </c>
      <c r="D400" s="441" t="str">
        <f t="shared" si="8"/>
        <v>FIN Finnland</v>
      </c>
      <c r="E400" s="501" t="s">
        <v>2168</v>
      </c>
      <c r="F400" s="442" t="s">
        <v>2169</v>
      </c>
      <c r="G400" s="448" t="s">
        <v>2170</v>
      </c>
      <c r="H400" s="442" t="s">
        <v>2171</v>
      </c>
      <c r="I400" s="442" t="s">
        <v>2172</v>
      </c>
      <c r="J400" s="502" t="s">
        <v>371</v>
      </c>
      <c r="K400" s="443" t="str">
        <f t="shared" si="9"/>
        <v/>
      </c>
    </row>
    <row r="401" spans="1:11" ht="28.5" customHeight="1">
      <c r="A401" s="500" t="s">
        <v>373</v>
      </c>
      <c r="B401" s="461" t="s">
        <v>2173</v>
      </c>
      <c r="C401" s="500" t="s">
        <v>2174</v>
      </c>
      <c r="D401" s="441" t="str">
        <f t="shared" si="8"/>
        <v>FJI Fidschi</v>
      </c>
      <c r="E401" s="501" t="s">
        <v>2175</v>
      </c>
      <c r="F401" s="442" t="s">
        <v>2176</v>
      </c>
      <c r="G401" s="448" t="s">
        <v>2177</v>
      </c>
      <c r="H401" s="442" t="s">
        <v>2178</v>
      </c>
      <c r="I401" s="442" t="s">
        <v>372</v>
      </c>
      <c r="J401" s="502" t="s">
        <v>373</v>
      </c>
      <c r="K401" s="443" t="str">
        <f t="shared" si="9"/>
        <v/>
      </c>
    </row>
    <row r="402" spans="1:11" ht="15.75" customHeight="1">
      <c r="A402" s="500" t="s">
        <v>375</v>
      </c>
      <c r="B402" s="461" t="s">
        <v>2179</v>
      </c>
      <c r="C402" s="500" t="s">
        <v>2180</v>
      </c>
      <c r="D402" s="441" t="str">
        <f t="shared" si="8"/>
        <v>FRA Frankreich</v>
      </c>
      <c r="E402" s="501" t="s">
        <v>2181</v>
      </c>
      <c r="F402" s="442" t="s">
        <v>2182</v>
      </c>
      <c r="G402" s="448" t="s">
        <v>2183</v>
      </c>
      <c r="H402" s="442" t="s">
        <v>2184</v>
      </c>
      <c r="I402" s="442" t="s">
        <v>374</v>
      </c>
      <c r="J402" s="502" t="s">
        <v>375</v>
      </c>
      <c r="K402" s="443" t="str">
        <f t="shared" si="9"/>
        <v/>
      </c>
    </row>
    <row r="403" spans="1:11" ht="15.75" customHeight="1">
      <c r="A403" s="500" t="s">
        <v>377</v>
      </c>
      <c r="B403" s="461" t="s">
        <v>2185</v>
      </c>
      <c r="C403" s="500" t="s">
        <v>2186</v>
      </c>
      <c r="D403" s="441" t="str">
        <f t="shared" ref="D403:D466" si="10">A403&amp;" "&amp;HLOOKUP($C$1,$E$1:$V$4910,ROW(D403))</f>
        <v>FRO Färöer</v>
      </c>
      <c r="E403" s="501" t="s">
        <v>2187</v>
      </c>
      <c r="F403" s="442" t="s">
        <v>2188</v>
      </c>
      <c r="G403" s="448" t="s">
        <v>2189</v>
      </c>
      <c r="H403" s="442" t="s">
        <v>2190</v>
      </c>
      <c r="I403" s="442" t="s">
        <v>2191</v>
      </c>
      <c r="J403" s="502" t="s">
        <v>377</v>
      </c>
      <c r="K403" s="443" t="str">
        <f t="shared" ref="K403:K466" si="11">IF(J403=A403,"","nix")</f>
        <v/>
      </c>
    </row>
    <row r="404" spans="1:11" ht="15.75" customHeight="1">
      <c r="A404" s="500" t="s">
        <v>379</v>
      </c>
      <c r="B404" s="461" t="s">
        <v>2192</v>
      </c>
      <c r="C404" s="500" t="s">
        <v>2193</v>
      </c>
      <c r="D404" s="441" t="str">
        <f t="shared" si="10"/>
        <v>FSM Mikronesien</v>
      </c>
      <c r="E404" s="501" t="s">
        <v>2194</v>
      </c>
      <c r="F404" s="442" t="s">
        <v>2195</v>
      </c>
      <c r="G404" s="448" t="s">
        <v>2196</v>
      </c>
      <c r="H404" s="442" t="s">
        <v>2197</v>
      </c>
      <c r="I404" s="442" t="s">
        <v>2198</v>
      </c>
      <c r="J404" s="502" t="s">
        <v>379</v>
      </c>
      <c r="K404" s="443" t="str">
        <f t="shared" si="11"/>
        <v/>
      </c>
    </row>
    <row r="405" spans="1:11" ht="15.75" customHeight="1">
      <c r="A405" s="500" t="s">
        <v>381</v>
      </c>
      <c r="B405" s="461" t="s">
        <v>2199</v>
      </c>
      <c r="C405" s="500" t="s">
        <v>2200</v>
      </c>
      <c r="D405" s="441" t="str">
        <f t="shared" si="10"/>
        <v>GAB Gabun</v>
      </c>
      <c r="E405" s="501" t="s">
        <v>2201</v>
      </c>
      <c r="F405" s="442" t="s">
        <v>2202</v>
      </c>
      <c r="G405" s="448" t="s">
        <v>2202</v>
      </c>
      <c r="H405" s="442" t="s">
        <v>2203</v>
      </c>
      <c r="I405" s="442" t="s">
        <v>380</v>
      </c>
      <c r="J405" s="502" t="s">
        <v>381</v>
      </c>
      <c r="K405" s="443" t="str">
        <f t="shared" si="11"/>
        <v/>
      </c>
    </row>
    <row r="406" spans="1:11" ht="15.75" customHeight="1">
      <c r="A406" s="500" t="s">
        <v>383</v>
      </c>
      <c r="B406" s="461" t="s">
        <v>2204</v>
      </c>
      <c r="C406" s="500" t="s">
        <v>2205</v>
      </c>
      <c r="D406" s="441" t="str">
        <f t="shared" si="10"/>
        <v>GBR Vereinigtes Königreich Großbritannien und Nordirland</v>
      </c>
      <c r="E406" s="501" t="s">
        <v>2206</v>
      </c>
      <c r="F406" s="442" t="s">
        <v>2207</v>
      </c>
      <c r="G406" s="448" t="s">
        <v>2208</v>
      </c>
      <c r="H406" s="442" t="s">
        <v>2209</v>
      </c>
      <c r="I406" s="442" t="s">
        <v>2210</v>
      </c>
      <c r="J406" s="502" t="s">
        <v>383</v>
      </c>
      <c r="K406" s="443" t="str">
        <f t="shared" si="11"/>
        <v/>
      </c>
    </row>
    <row r="407" spans="1:11" ht="15.75" customHeight="1">
      <c r="A407" s="500" t="s">
        <v>385</v>
      </c>
      <c r="B407" s="461" t="s">
        <v>2211</v>
      </c>
      <c r="C407" s="500" t="s">
        <v>2212</v>
      </c>
      <c r="D407" s="441" t="str">
        <f t="shared" si="10"/>
        <v>GEO Georgien</v>
      </c>
      <c r="E407" s="501" t="s">
        <v>2213</v>
      </c>
      <c r="F407" s="442" t="s">
        <v>2214</v>
      </c>
      <c r="G407" s="448" t="s">
        <v>2214</v>
      </c>
      <c r="H407" s="442" t="s">
        <v>384</v>
      </c>
      <c r="I407" s="442" t="s">
        <v>2215</v>
      </c>
      <c r="J407" s="502" t="s">
        <v>385</v>
      </c>
      <c r="K407" s="443" t="str">
        <f t="shared" si="11"/>
        <v/>
      </c>
    </row>
    <row r="408" spans="1:11" ht="15.75" customHeight="1">
      <c r="A408" s="500" t="s">
        <v>387</v>
      </c>
      <c r="B408" s="461" t="s">
        <v>2216</v>
      </c>
      <c r="C408" s="500" t="s">
        <v>2217</v>
      </c>
      <c r="D408" s="441" t="str">
        <f t="shared" si="10"/>
        <v>GHA Ghana</v>
      </c>
      <c r="E408" s="501" t="s">
        <v>386</v>
      </c>
      <c r="F408" s="442" t="s">
        <v>2218</v>
      </c>
      <c r="G408" s="448" t="s">
        <v>2218</v>
      </c>
      <c r="H408" s="442" t="s">
        <v>386</v>
      </c>
      <c r="I408" s="442" t="s">
        <v>386</v>
      </c>
      <c r="J408" s="502" t="s">
        <v>387</v>
      </c>
      <c r="K408" s="443" t="str">
        <f t="shared" si="11"/>
        <v/>
      </c>
    </row>
    <row r="409" spans="1:11" ht="15.75" customHeight="1">
      <c r="A409" s="500" t="s">
        <v>389</v>
      </c>
      <c r="B409" s="461" t="s">
        <v>2219</v>
      </c>
      <c r="C409" s="500" t="s">
        <v>2220</v>
      </c>
      <c r="D409" s="441" t="str">
        <f t="shared" si="10"/>
        <v>GIB Gibraltar</v>
      </c>
      <c r="E409" s="501" t="s">
        <v>388</v>
      </c>
      <c r="F409" s="442" t="s">
        <v>2221</v>
      </c>
      <c r="G409" s="448" t="s">
        <v>2222</v>
      </c>
      <c r="H409" s="442" t="s">
        <v>388</v>
      </c>
      <c r="I409" s="442" t="s">
        <v>2223</v>
      </c>
      <c r="J409" s="502" t="s">
        <v>389</v>
      </c>
      <c r="K409" s="443" t="str">
        <f t="shared" si="11"/>
        <v/>
      </c>
    </row>
    <row r="410" spans="1:11" ht="15.75" customHeight="1">
      <c r="A410" s="500" t="s">
        <v>391</v>
      </c>
      <c r="B410" s="461" t="s">
        <v>2224</v>
      </c>
      <c r="C410" s="500" t="s">
        <v>2225</v>
      </c>
      <c r="D410" s="441" t="str">
        <f t="shared" si="10"/>
        <v>GIN Guinea</v>
      </c>
      <c r="E410" s="501" t="s">
        <v>390</v>
      </c>
      <c r="F410" s="442" t="s">
        <v>2226</v>
      </c>
      <c r="G410" s="448" t="s">
        <v>2226</v>
      </c>
      <c r="H410" s="442" t="s">
        <v>390</v>
      </c>
      <c r="I410" s="442" t="s">
        <v>2227</v>
      </c>
      <c r="J410" s="502" t="s">
        <v>391</v>
      </c>
      <c r="K410" s="443" t="str">
        <f t="shared" si="11"/>
        <v/>
      </c>
    </row>
    <row r="411" spans="1:11" ht="15.75" customHeight="1">
      <c r="A411" s="500" t="s">
        <v>393</v>
      </c>
      <c r="B411" s="461" t="s">
        <v>2228</v>
      </c>
      <c r="C411" s="500" t="s">
        <v>2229</v>
      </c>
      <c r="D411" s="441" t="str">
        <f t="shared" si="10"/>
        <v>GMB Gambia</v>
      </c>
      <c r="E411" s="501" t="s">
        <v>2230</v>
      </c>
      <c r="F411" s="442" t="s">
        <v>2231</v>
      </c>
      <c r="G411" s="448" t="s">
        <v>2231</v>
      </c>
      <c r="H411" s="442" t="s">
        <v>2230</v>
      </c>
      <c r="I411" s="442" t="s">
        <v>2232</v>
      </c>
      <c r="J411" s="502" t="s">
        <v>393</v>
      </c>
      <c r="K411" s="443" t="str">
        <f t="shared" si="11"/>
        <v/>
      </c>
    </row>
    <row r="412" spans="1:11" ht="28.5" customHeight="1">
      <c r="A412" s="500" t="s">
        <v>395</v>
      </c>
      <c r="B412" s="461" t="s">
        <v>2233</v>
      </c>
      <c r="C412" s="500" t="s">
        <v>2234</v>
      </c>
      <c r="D412" s="441" t="str">
        <f t="shared" si="10"/>
        <v>GNB Guinea-Bissau</v>
      </c>
      <c r="E412" s="501" t="s">
        <v>394</v>
      </c>
      <c r="F412" s="442" t="s">
        <v>2235</v>
      </c>
      <c r="G412" s="448" t="s">
        <v>2235</v>
      </c>
      <c r="H412" s="442" t="s">
        <v>2236</v>
      </c>
      <c r="I412" s="442" t="s">
        <v>2237</v>
      </c>
      <c r="J412" s="502" t="s">
        <v>395</v>
      </c>
      <c r="K412" s="443" t="str">
        <f t="shared" si="11"/>
        <v/>
      </c>
    </row>
    <row r="413" spans="1:11" ht="15.75" customHeight="1">
      <c r="A413" s="500" t="s">
        <v>397</v>
      </c>
      <c r="B413" s="461" t="s">
        <v>2238</v>
      </c>
      <c r="C413" s="500" t="s">
        <v>2239</v>
      </c>
      <c r="D413" s="441" t="str">
        <f t="shared" si="10"/>
        <v>GNQ Äquatorialguinea</v>
      </c>
      <c r="E413" s="501" t="s">
        <v>2240</v>
      </c>
      <c r="F413" s="442" t="s">
        <v>2241</v>
      </c>
      <c r="G413" s="448" t="s">
        <v>2242</v>
      </c>
      <c r="H413" s="442" t="s">
        <v>2243</v>
      </c>
      <c r="I413" s="442" t="s">
        <v>2244</v>
      </c>
      <c r="J413" s="502" t="s">
        <v>397</v>
      </c>
      <c r="K413" s="443" t="str">
        <f t="shared" si="11"/>
        <v/>
      </c>
    </row>
    <row r="414" spans="1:11" ht="15.75" customHeight="1">
      <c r="A414" s="500" t="s">
        <v>399</v>
      </c>
      <c r="B414" s="461" t="s">
        <v>2245</v>
      </c>
      <c r="C414" s="500" t="s">
        <v>2246</v>
      </c>
      <c r="D414" s="441" t="str">
        <f t="shared" si="10"/>
        <v>GRC Griechenland</v>
      </c>
      <c r="E414" s="501" t="s">
        <v>2247</v>
      </c>
      <c r="F414" s="442" t="s">
        <v>2248</v>
      </c>
      <c r="G414" s="448" t="s">
        <v>2249</v>
      </c>
      <c r="H414" s="442" t="s">
        <v>2250</v>
      </c>
      <c r="I414" s="442" t="s">
        <v>2251</v>
      </c>
      <c r="J414" s="502" t="s">
        <v>399</v>
      </c>
      <c r="K414" s="443" t="str">
        <f t="shared" si="11"/>
        <v/>
      </c>
    </row>
    <row r="415" spans="1:11" ht="15.75" customHeight="1">
      <c r="A415" s="500" t="s">
        <v>401</v>
      </c>
      <c r="B415" s="461" t="s">
        <v>2252</v>
      </c>
      <c r="C415" s="500" t="s">
        <v>2253</v>
      </c>
      <c r="D415" s="441" t="str">
        <f t="shared" si="10"/>
        <v>GRD Grenada</v>
      </c>
      <c r="E415" s="501" t="s">
        <v>400</v>
      </c>
      <c r="F415" s="442" t="s">
        <v>2254</v>
      </c>
      <c r="G415" s="448" t="s">
        <v>2254</v>
      </c>
      <c r="H415" s="442" t="s">
        <v>2255</v>
      </c>
      <c r="I415" s="442" t="s">
        <v>2256</v>
      </c>
      <c r="J415" s="502" t="s">
        <v>401</v>
      </c>
      <c r="K415" s="443" t="str">
        <f t="shared" si="11"/>
        <v/>
      </c>
    </row>
    <row r="416" spans="1:11" ht="15.75" customHeight="1">
      <c r="A416" s="500" t="s">
        <v>403</v>
      </c>
      <c r="B416" s="461" t="s">
        <v>2257</v>
      </c>
      <c r="C416" s="500" t="s">
        <v>2258</v>
      </c>
      <c r="D416" s="441" t="str">
        <f t="shared" si="10"/>
        <v>GRL Grönland</v>
      </c>
      <c r="E416" s="501" t="s">
        <v>2259</v>
      </c>
      <c r="F416" s="442" t="s">
        <v>2260</v>
      </c>
      <c r="G416" s="448" t="s">
        <v>2261</v>
      </c>
      <c r="H416" s="442" t="s">
        <v>2262</v>
      </c>
      <c r="I416" s="442" t="s">
        <v>2263</v>
      </c>
      <c r="J416" s="502" t="s">
        <v>403</v>
      </c>
      <c r="K416" s="443" t="str">
        <f t="shared" si="11"/>
        <v/>
      </c>
    </row>
    <row r="417" spans="1:11" ht="15.75" customHeight="1">
      <c r="A417" s="500" t="s">
        <v>405</v>
      </c>
      <c r="B417" s="461" t="s">
        <v>2264</v>
      </c>
      <c r="C417" s="500" t="s">
        <v>2265</v>
      </c>
      <c r="D417" s="441" t="str">
        <f t="shared" si="10"/>
        <v>GTM Guatemala</v>
      </c>
      <c r="E417" s="501" t="s">
        <v>404</v>
      </c>
      <c r="F417" s="442" t="s">
        <v>2266</v>
      </c>
      <c r="G417" s="448" t="s">
        <v>2266</v>
      </c>
      <c r="H417" s="442" t="s">
        <v>404</v>
      </c>
      <c r="I417" s="442" t="s">
        <v>2267</v>
      </c>
      <c r="J417" s="502" t="s">
        <v>405</v>
      </c>
      <c r="K417" s="443" t="str">
        <f t="shared" si="11"/>
        <v/>
      </c>
    </row>
    <row r="418" spans="1:11" ht="15.75" customHeight="1">
      <c r="A418" s="500" t="s">
        <v>407</v>
      </c>
      <c r="B418" s="461" t="s">
        <v>2268</v>
      </c>
      <c r="C418" s="500" t="s">
        <v>2269</v>
      </c>
      <c r="D418" s="441" t="str">
        <f t="shared" si="10"/>
        <v>GUM Guam</v>
      </c>
      <c r="E418" s="501" t="s">
        <v>406</v>
      </c>
      <c r="F418" s="442" t="s">
        <v>2270</v>
      </c>
      <c r="G418" s="448" t="s">
        <v>2270</v>
      </c>
      <c r="H418" s="442" t="s">
        <v>406</v>
      </c>
      <c r="I418" s="442" t="s">
        <v>406</v>
      </c>
      <c r="J418" s="502" t="s">
        <v>407</v>
      </c>
      <c r="K418" s="443" t="str">
        <f t="shared" si="11"/>
        <v/>
      </c>
    </row>
    <row r="419" spans="1:11" ht="15.75" customHeight="1">
      <c r="A419" s="500" t="s">
        <v>409</v>
      </c>
      <c r="B419" s="461" t="s">
        <v>2271</v>
      </c>
      <c r="C419" s="500" t="s">
        <v>2272</v>
      </c>
      <c r="D419" s="441" t="str">
        <f t="shared" si="10"/>
        <v>GUY Guyana</v>
      </c>
      <c r="E419" s="501" t="s">
        <v>408</v>
      </c>
      <c r="F419" s="442" t="s">
        <v>2273</v>
      </c>
      <c r="G419" s="448" t="s">
        <v>2273</v>
      </c>
      <c r="H419" s="442" t="s">
        <v>408</v>
      </c>
      <c r="I419" s="442" t="s">
        <v>2274</v>
      </c>
      <c r="J419" s="502" t="s">
        <v>409</v>
      </c>
      <c r="K419" s="443" t="str">
        <f t="shared" si="11"/>
        <v/>
      </c>
    </row>
    <row r="420" spans="1:11" ht="15.75" customHeight="1">
      <c r="A420" s="500" t="s">
        <v>411</v>
      </c>
      <c r="B420" s="461" t="s">
        <v>2275</v>
      </c>
      <c r="C420" s="500" t="s">
        <v>2276</v>
      </c>
      <c r="D420" s="441" t="str">
        <f t="shared" si="10"/>
        <v>HKG Hongkong</v>
      </c>
      <c r="E420" s="501" t="s">
        <v>2277</v>
      </c>
      <c r="F420" s="442" t="s">
        <v>2278</v>
      </c>
      <c r="G420" s="448" t="s">
        <v>2278</v>
      </c>
      <c r="H420" s="442" t="s">
        <v>2279</v>
      </c>
      <c r="I420" s="442" t="s">
        <v>2279</v>
      </c>
      <c r="J420" s="502" t="s">
        <v>411</v>
      </c>
      <c r="K420" s="443" t="str">
        <f t="shared" si="11"/>
        <v/>
      </c>
    </row>
    <row r="421" spans="1:11" ht="15.75" customHeight="1">
      <c r="A421" s="500" t="s">
        <v>413</v>
      </c>
      <c r="B421" s="461" t="s">
        <v>2280</v>
      </c>
      <c r="C421" s="500" t="s">
        <v>2281</v>
      </c>
      <c r="D421" s="441" t="str">
        <f t="shared" si="10"/>
        <v>HND Honduras</v>
      </c>
      <c r="E421" s="501" t="s">
        <v>412</v>
      </c>
      <c r="F421" s="442" t="s">
        <v>2282</v>
      </c>
      <c r="G421" s="448" t="s">
        <v>2282</v>
      </c>
      <c r="H421" s="442" t="s">
        <v>412</v>
      </c>
      <c r="I421" s="442" t="s">
        <v>412</v>
      </c>
      <c r="J421" s="502" t="s">
        <v>413</v>
      </c>
      <c r="K421" s="443" t="str">
        <f t="shared" si="11"/>
        <v/>
      </c>
    </row>
    <row r="422" spans="1:11" ht="15.75" customHeight="1">
      <c r="A422" s="500" t="s">
        <v>415</v>
      </c>
      <c r="B422" s="461" t="s">
        <v>2283</v>
      </c>
      <c r="C422" s="500" t="s">
        <v>2284</v>
      </c>
      <c r="D422" s="441" t="str">
        <f t="shared" si="10"/>
        <v>HRV Kroatien</v>
      </c>
      <c r="E422" s="501" t="s">
        <v>2285</v>
      </c>
      <c r="F422" s="442" t="s">
        <v>2286</v>
      </c>
      <c r="G422" s="448" t="s">
        <v>2287</v>
      </c>
      <c r="H422" s="442" t="s">
        <v>2288</v>
      </c>
      <c r="I422" s="442" t="s">
        <v>2289</v>
      </c>
      <c r="J422" s="502" t="s">
        <v>415</v>
      </c>
      <c r="K422" s="443" t="str">
        <f t="shared" si="11"/>
        <v/>
      </c>
    </row>
    <row r="423" spans="1:11" ht="15.75" customHeight="1">
      <c r="A423" s="500" t="s">
        <v>417</v>
      </c>
      <c r="B423" s="461" t="s">
        <v>2290</v>
      </c>
      <c r="C423" s="500" t="s">
        <v>2291</v>
      </c>
      <c r="D423" s="441" t="str">
        <f t="shared" si="10"/>
        <v>HTI Haiti</v>
      </c>
      <c r="E423" s="501" t="s">
        <v>416</v>
      </c>
      <c r="F423" s="442" t="s">
        <v>2292</v>
      </c>
      <c r="G423" s="448" t="s">
        <v>2292</v>
      </c>
      <c r="H423" s="442" t="s">
        <v>2293</v>
      </c>
      <c r="I423" s="442" t="s">
        <v>2294</v>
      </c>
      <c r="J423" s="502" t="s">
        <v>417</v>
      </c>
      <c r="K423" s="443" t="str">
        <f t="shared" si="11"/>
        <v/>
      </c>
    </row>
    <row r="424" spans="1:11" ht="15.75" customHeight="1">
      <c r="A424" s="500" t="s">
        <v>419</v>
      </c>
      <c r="B424" s="461" t="s">
        <v>2295</v>
      </c>
      <c r="C424" s="500" t="s">
        <v>2296</v>
      </c>
      <c r="D424" s="441" t="str">
        <f t="shared" si="10"/>
        <v>HUN Ungarn</v>
      </c>
      <c r="E424" s="501" t="s">
        <v>2297</v>
      </c>
      <c r="F424" s="442" t="s">
        <v>2298</v>
      </c>
      <c r="G424" s="448" t="s">
        <v>2299</v>
      </c>
      <c r="H424" s="442" t="s">
        <v>2300</v>
      </c>
      <c r="I424" s="442" t="s">
        <v>2301</v>
      </c>
      <c r="J424" s="502" t="s">
        <v>419</v>
      </c>
      <c r="K424" s="443" t="str">
        <f t="shared" si="11"/>
        <v/>
      </c>
    </row>
    <row r="425" spans="1:11" ht="15.75" customHeight="1">
      <c r="A425" s="500" t="s">
        <v>421</v>
      </c>
      <c r="B425" s="461" t="s">
        <v>2302</v>
      </c>
      <c r="C425" s="500" t="s">
        <v>2303</v>
      </c>
      <c r="D425" s="441" t="str">
        <f t="shared" si="10"/>
        <v>IDN Indonesien</v>
      </c>
      <c r="E425" s="501" t="s">
        <v>2304</v>
      </c>
      <c r="F425" s="442" t="s">
        <v>2305</v>
      </c>
      <c r="G425" s="503" t="s">
        <v>2305</v>
      </c>
      <c r="H425" s="503" t="s">
        <v>420</v>
      </c>
      <c r="I425" s="503" t="s">
        <v>2306</v>
      </c>
      <c r="J425" s="502" t="s">
        <v>421</v>
      </c>
      <c r="K425" s="443" t="str">
        <f t="shared" si="11"/>
        <v/>
      </c>
    </row>
    <row r="426" spans="1:11" ht="15.75" customHeight="1">
      <c r="A426" s="500" t="s">
        <v>423</v>
      </c>
      <c r="B426" s="461" t="s">
        <v>2307</v>
      </c>
      <c r="C426" s="500" t="s">
        <v>2308</v>
      </c>
      <c r="D426" s="441" t="str">
        <f t="shared" si="10"/>
        <v>IMN Insel Man</v>
      </c>
      <c r="E426" s="439" t="s">
        <v>2309</v>
      </c>
      <c r="F426" s="442" t="s">
        <v>2310</v>
      </c>
      <c r="G426" s="439" t="s">
        <v>2311</v>
      </c>
      <c r="H426" s="439" t="s">
        <v>2312</v>
      </c>
      <c r="I426" s="439" t="s">
        <v>2313</v>
      </c>
      <c r="J426" s="502" t="s">
        <v>423</v>
      </c>
      <c r="K426" s="443" t="str">
        <f t="shared" si="11"/>
        <v/>
      </c>
    </row>
    <row r="427" spans="1:11" ht="15.75" customHeight="1">
      <c r="A427" s="500" t="s">
        <v>425</v>
      </c>
      <c r="B427" s="461" t="s">
        <v>2314</v>
      </c>
      <c r="C427" s="500" t="s">
        <v>2315</v>
      </c>
      <c r="D427" s="441" t="str">
        <f t="shared" si="10"/>
        <v>IND Indien</v>
      </c>
      <c r="E427" s="439" t="s">
        <v>2316</v>
      </c>
      <c r="F427" s="442" t="s">
        <v>2317</v>
      </c>
      <c r="G427" s="439" t="s">
        <v>2317</v>
      </c>
      <c r="H427" s="439" t="s">
        <v>424</v>
      </c>
      <c r="I427" s="439" t="s">
        <v>2318</v>
      </c>
      <c r="J427" s="502" t="s">
        <v>425</v>
      </c>
      <c r="K427" s="443" t="str">
        <f t="shared" si="11"/>
        <v/>
      </c>
    </row>
    <row r="428" spans="1:11" ht="15.75" customHeight="1">
      <c r="A428" s="500" t="s">
        <v>427</v>
      </c>
      <c r="B428" s="461" t="s">
        <v>2319</v>
      </c>
      <c r="C428" s="500" t="s">
        <v>2320</v>
      </c>
      <c r="D428" s="441" t="str">
        <f t="shared" si="10"/>
        <v>IRL Irland</v>
      </c>
      <c r="E428" s="501" t="s">
        <v>2321</v>
      </c>
      <c r="F428" s="442" t="s">
        <v>2322</v>
      </c>
      <c r="G428" s="503" t="s">
        <v>2323</v>
      </c>
      <c r="H428" s="503" t="s">
        <v>2324</v>
      </c>
      <c r="I428" s="503" t="s">
        <v>2325</v>
      </c>
      <c r="J428" s="502" t="s">
        <v>427</v>
      </c>
      <c r="K428" s="443" t="str">
        <f t="shared" si="11"/>
        <v/>
      </c>
    </row>
    <row r="429" spans="1:11" ht="15.75" customHeight="1">
      <c r="A429" s="500" t="s">
        <v>429</v>
      </c>
      <c r="B429" s="461" t="s">
        <v>2326</v>
      </c>
      <c r="C429" s="500" t="s">
        <v>2327</v>
      </c>
      <c r="D429" s="441" t="str">
        <f t="shared" si="10"/>
        <v>IRN Iran, Islamische Republik</v>
      </c>
      <c r="E429" s="439" t="s">
        <v>2328</v>
      </c>
      <c r="F429" s="442" t="s">
        <v>2329</v>
      </c>
      <c r="G429" s="439" t="s">
        <v>2330</v>
      </c>
      <c r="H429" s="439" t="s">
        <v>2331</v>
      </c>
      <c r="I429" s="439" t="s">
        <v>2332</v>
      </c>
      <c r="J429" s="502" t="s">
        <v>429</v>
      </c>
      <c r="K429" s="443" t="str">
        <f t="shared" si="11"/>
        <v/>
      </c>
    </row>
    <row r="430" spans="1:11" ht="15.75" customHeight="1">
      <c r="A430" s="500" t="s">
        <v>431</v>
      </c>
      <c r="B430" s="461" t="s">
        <v>2333</v>
      </c>
      <c r="C430" s="500" t="s">
        <v>2334</v>
      </c>
      <c r="D430" s="441" t="str">
        <f t="shared" si="10"/>
        <v>IRQ Irak</v>
      </c>
      <c r="E430" s="439" t="s">
        <v>2335</v>
      </c>
      <c r="F430" s="442" t="s">
        <v>2336</v>
      </c>
      <c r="G430" s="439" t="s">
        <v>2336</v>
      </c>
      <c r="H430" s="439" t="s">
        <v>2335</v>
      </c>
      <c r="I430" s="439" t="s">
        <v>2335</v>
      </c>
      <c r="J430" s="502" t="s">
        <v>431</v>
      </c>
      <c r="K430" s="443" t="str">
        <f t="shared" si="11"/>
        <v/>
      </c>
    </row>
    <row r="431" spans="1:11" ht="15.75" customHeight="1">
      <c r="A431" s="500" t="s">
        <v>433</v>
      </c>
      <c r="B431" s="461" t="s">
        <v>2337</v>
      </c>
      <c r="C431" s="500" t="s">
        <v>2338</v>
      </c>
      <c r="D431" s="441" t="str">
        <f t="shared" si="10"/>
        <v>ISL Island</v>
      </c>
      <c r="E431" s="439" t="s">
        <v>2339</v>
      </c>
      <c r="F431" s="442" t="s">
        <v>2340</v>
      </c>
      <c r="G431" s="439" t="s">
        <v>2341</v>
      </c>
      <c r="H431" s="439" t="s">
        <v>2342</v>
      </c>
      <c r="I431" s="439" t="s">
        <v>2343</v>
      </c>
      <c r="J431" s="502" t="s">
        <v>433</v>
      </c>
      <c r="K431" s="443" t="str">
        <f t="shared" si="11"/>
        <v/>
      </c>
    </row>
    <row r="432" spans="1:11" ht="15.75" customHeight="1">
      <c r="A432" s="500" t="s">
        <v>435</v>
      </c>
      <c r="B432" s="461" t="s">
        <v>2344</v>
      </c>
      <c r="C432" s="500" t="s">
        <v>2345</v>
      </c>
      <c r="D432" s="441" t="str">
        <f t="shared" si="10"/>
        <v>ISR Israel</v>
      </c>
      <c r="E432" s="439" t="s">
        <v>434</v>
      </c>
      <c r="F432" s="442" t="s">
        <v>2346</v>
      </c>
      <c r="G432" s="439" t="s">
        <v>2347</v>
      </c>
      <c r="H432" s="439" t="s">
        <v>434</v>
      </c>
      <c r="I432" s="439" t="s">
        <v>2348</v>
      </c>
      <c r="J432" s="502" t="s">
        <v>435</v>
      </c>
      <c r="K432" s="443" t="str">
        <f t="shared" si="11"/>
        <v/>
      </c>
    </row>
    <row r="433" spans="1:11" ht="15.75" customHeight="1">
      <c r="A433" s="500" t="s">
        <v>437</v>
      </c>
      <c r="B433" s="461" t="s">
        <v>2349</v>
      </c>
      <c r="C433" s="500" t="s">
        <v>2350</v>
      </c>
      <c r="D433" s="441" t="str">
        <f t="shared" si="10"/>
        <v>ITA Italien</v>
      </c>
      <c r="E433" s="439" t="s">
        <v>2351</v>
      </c>
      <c r="F433" s="442" t="s">
        <v>2352</v>
      </c>
      <c r="G433" s="439" t="s">
        <v>2353</v>
      </c>
      <c r="H433" s="439" t="s">
        <v>2354</v>
      </c>
      <c r="I433" s="439" t="s">
        <v>2355</v>
      </c>
      <c r="J433" s="502" t="s">
        <v>437</v>
      </c>
      <c r="K433" s="443" t="str">
        <f t="shared" si="11"/>
        <v/>
      </c>
    </row>
    <row r="434" spans="1:11" ht="15.75" customHeight="1">
      <c r="A434" s="500" t="s">
        <v>439</v>
      </c>
      <c r="B434" s="461" t="s">
        <v>2356</v>
      </c>
      <c r="C434" s="500" t="s">
        <v>2357</v>
      </c>
      <c r="D434" s="441" t="str">
        <f t="shared" si="10"/>
        <v>JAM Jamaika</v>
      </c>
      <c r="E434" s="439" t="s">
        <v>2358</v>
      </c>
      <c r="F434" s="442" t="s">
        <v>2359</v>
      </c>
      <c r="G434" s="439" t="s">
        <v>2360</v>
      </c>
      <c r="H434" s="439" t="s">
        <v>438</v>
      </c>
      <c r="I434" s="439" t="s">
        <v>2361</v>
      </c>
      <c r="J434" s="502" t="s">
        <v>439</v>
      </c>
      <c r="K434" s="443" t="str">
        <f t="shared" si="11"/>
        <v/>
      </c>
    </row>
    <row r="435" spans="1:11" ht="15.75" customHeight="1">
      <c r="A435" s="500" t="s">
        <v>441</v>
      </c>
      <c r="B435" s="461" t="s">
        <v>2362</v>
      </c>
      <c r="C435" s="500" t="s">
        <v>2363</v>
      </c>
      <c r="D435" s="441" t="str">
        <f t="shared" si="10"/>
        <v>JOR Jordanien</v>
      </c>
      <c r="E435" s="439" t="s">
        <v>2364</v>
      </c>
      <c r="F435" s="442" t="s">
        <v>2365</v>
      </c>
      <c r="G435" s="439" t="s">
        <v>2366</v>
      </c>
      <c r="H435" s="439" t="s">
        <v>2367</v>
      </c>
      <c r="I435" s="439" t="s">
        <v>2368</v>
      </c>
      <c r="J435" s="502" t="s">
        <v>441</v>
      </c>
      <c r="K435" s="443" t="str">
        <f t="shared" si="11"/>
        <v/>
      </c>
    </row>
    <row r="436" spans="1:11" ht="15.75" customHeight="1">
      <c r="A436" s="500" t="s">
        <v>443</v>
      </c>
      <c r="B436" s="461" t="s">
        <v>2369</v>
      </c>
      <c r="C436" s="500" t="s">
        <v>2370</v>
      </c>
      <c r="D436" s="441" t="str">
        <f t="shared" si="10"/>
        <v>JPN Japan</v>
      </c>
      <c r="E436" s="439" t="s">
        <v>442</v>
      </c>
      <c r="F436" s="442" t="s">
        <v>2371</v>
      </c>
      <c r="G436" s="439" t="s">
        <v>2372</v>
      </c>
      <c r="H436" s="439" t="s">
        <v>2373</v>
      </c>
      <c r="I436" s="439" t="s">
        <v>2374</v>
      </c>
      <c r="J436" s="502" t="s">
        <v>443</v>
      </c>
      <c r="K436" s="443" t="str">
        <f t="shared" si="11"/>
        <v/>
      </c>
    </row>
    <row r="437" spans="1:11" ht="15.75" customHeight="1">
      <c r="A437" s="500" t="s">
        <v>445</v>
      </c>
      <c r="B437" s="461" t="s">
        <v>2375</v>
      </c>
      <c r="C437" s="500" t="s">
        <v>2376</v>
      </c>
      <c r="D437" s="441" t="str">
        <f t="shared" si="10"/>
        <v>KAZ Kasachstan</v>
      </c>
      <c r="E437" s="439" t="s">
        <v>2377</v>
      </c>
      <c r="F437" s="442" t="s">
        <v>2378</v>
      </c>
      <c r="G437" s="439" t="s">
        <v>2379</v>
      </c>
      <c r="H437" s="439" t="s">
        <v>2380</v>
      </c>
      <c r="I437" s="439" t="s">
        <v>444</v>
      </c>
      <c r="J437" s="502" t="s">
        <v>445</v>
      </c>
      <c r="K437" s="443" t="str">
        <f t="shared" si="11"/>
        <v/>
      </c>
    </row>
    <row r="438" spans="1:11" ht="15.75" customHeight="1">
      <c r="A438" s="500" t="s">
        <v>447</v>
      </c>
      <c r="B438" s="461" t="s">
        <v>2381</v>
      </c>
      <c r="C438" s="500" t="s">
        <v>2382</v>
      </c>
      <c r="D438" s="441" t="str">
        <f t="shared" si="10"/>
        <v>KEN Kenia</v>
      </c>
      <c r="E438" s="439" t="s">
        <v>2383</v>
      </c>
      <c r="F438" s="442" t="s">
        <v>2384</v>
      </c>
      <c r="G438" s="439" t="s">
        <v>2384</v>
      </c>
      <c r="H438" s="439" t="s">
        <v>2383</v>
      </c>
      <c r="I438" s="439" t="s">
        <v>446</v>
      </c>
      <c r="J438" s="502" t="s">
        <v>447</v>
      </c>
      <c r="K438" s="443" t="str">
        <f t="shared" si="11"/>
        <v/>
      </c>
    </row>
    <row r="439" spans="1:11" ht="15.75" customHeight="1">
      <c r="A439" s="500" t="s">
        <v>449</v>
      </c>
      <c r="B439" s="461" t="s">
        <v>2385</v>
      </c>
      <c r="C439" s="500" t="s">
        <v>2386</v>
      </c>
      <c r="D439" s="441" t="str">
        <f t="shared" si="10"/>
        <v>KGZ Kirgisistan</v>
      </c>
      <c r="E439" s="439" t="s">
        <v>2387</v>
      </c>
      <c r="F439" s="442" t="s">
        <v>2388</v>
      </c>
      <c r="G439" s="439" t="s">
        <v>2389</v>
      </c>
      <c r="H439" s="439" t="s">
        <v>2390</v>
      </c>
      <c r="I439" s="439" t="s">
        <v>2391</v>
      </c>
      <c r="J439" s="502" t="s">
        <v>449</v>
      </c>
      <c r="K439" s="443" t="str">
        <f t="shared" si="11"/>
        <v/>
      </c>
    </row>
    <row r="440" spans="1:11" ht="15.75" customHeight="1">
      <c r="A440" s="500" t="s">
        <v>451</v>
      </c>
      <c r="B440" s="461" t="s">
        <v>2392</v>
      </c>
      <c r="C440" s="500" t="s">
        <v>2393</v>
      </c>
      <c r="D440" s="441" t="str">
        <f t="shared" si="10"/>
        <v>KHM Kambodscha</v>
      </c>
      <c r="E440" s="439" t="s">
        <v>2394</v>
      </c>
      <c r="F440" s="442" t="s">
        <v>2395</v>
      </c>
      <c r="G440" s="439" t="s">
        <v>2396</v>
      </c>
      <c r="H440" s="439" t="s">
        <v>2397</v>
      </c>
      <c r="I440" s="439" t="s">
        <v>2398</v>
      </c>
      <c r="J440" s="502" t="s">
        <v>451</v>
      </c>
      <c r="K440" s="443" t="str">
        <f t="shared" si="11"/>
        <v/>
      </c>
    </row>
    <row r="441" spans="1:11" ht="28.5" customHeight="1">
      <c r="A441" s="500" t="s">
        <v>453</v>
      </c>
      <c r="B441" s="461" t="s">
        <v>2399</v>
      </c>
      <c r="C441" s="500" t="s">
        <v>2400</v>
      </c>
      <c r="D441" s="441" t="str">
        <f t="shared" si="10"/>
        <v>KIR Kiribati</v>
      </c>
      <c r="E441" s="439" t="s">
        <v>452</v>
      </c>
      <c r="F441" s="442" t="s">
        <v>2401</v>
      </c>
      <c r="G441" s="439" t="s">
        <v>2401</v>
      </c>
      <c r="H441" s="439" t="s">
        <v>452</v>
      </c>
      <c r="I441" s="439" t="s">
        <v>452</v>
      </c>
      <c r="J441" s="502" t="s">
        <v>453</v>
      </c>
      <c r="K441" s="443" t="str">
        <f t="shared" si="11"/>
        <v/>
      </c>
    </row>
    <row r="442" spans="1:11" ht="15.75" customHeight="1">
      <c r="A442" s="500" t="s">
        <v>455</v>
      </c>
      <c r="B442" s="461" t="s">
        <v>2402</v>
      </c>
      <c r="C442" s="500" t="s">
        <v>2403</v>
      </c>
      <c r="D442" s="441" t="str">
        <f t="shared" si="10"/>
        <v>KNA St. Kitts und Nevis</v>
      </c>
      <c r="E442" s="439" t="s">
        <v>2404</v>
      </c>
      <c r="F442" s="442" t="s">
        <v>2405</v>
      </c>
      <c r="G442" s="439" t="s">
        <v>2406</v>
      </c>
      <c r="H442" s="439" t="s">
        <v>2407</v>
      </c>
      <c r="I442" s="439" t="s">
        <v>2408</v>
      </c>
      <c r="J442" s="502" t="s">
        <v>455</v>
      </c>
      <c r="K442" s="443" t="str">
        <f t="shared" si="11"/>
        <v/>
      </c>
    </row>
    <row r="443" spans="1:11" ht="15.75" customHeight="1">
      <c r="A443" s="500" t="s">
        <v>457</v>
      </c>
      <c r="B443" s="461" t="s">
        <v>2409</v>
      </c>
      <c r="C443" s="500" t="s">
        <v>2410</v>
      </c>
      <c r="D443" s="441" t="str">
        <f t="shared" si="10"/>
        <v>KOR Korea, Republik (Südkorea)</v>
      </c>
      <c r="E443" s="439" t="s">
        <v>2411</v>
      </c>
      <c r="F443" s="442" t="s">
        <v>2412</v>
      </c>
      <c r="G443" s="439" t="s">
        <v>2413</v>
      </c>
      <c r="H443" s="439" t="s">
        <v>2414</v>
      </c>
      <c r="I443" s="439" t="s">
        <v>2415</v>
      </c>
      <c r="J443" s="502" t="s">
        <v>457</v>
      </c>
      <c r="K443" s="443" t="str">
        <f t="shared" si="11"/>
        <v/>
      </c>
    </row>
    <row r="444" spans="1:11" ht="15.75" customHeight="1">
      <c r="A444" s="500" t="s">
        <v>459</v>
      </c>
      <c r="B444" s="461" t="s">
        <v>2416</v>
      </c>
      <c r="C444" s="500" t="s">
        <v>2417</v>
      </c>
      <c r="D444" s="441" t="str">
        <f t="shared" si="10"/>
        <v>KWT Kuwait</v>
      </c>
      <c r="E444" s="439" t="s">
        <v>458</v>
      </c>
      <c r="F444" s="442" t="s">
        <v>2418</v>
      </c>
      <c r="G444" s="439" t="s">
        <v>2418</v>
      </c>
      <c r="H444" s="439" t="s">
        <v>458</v>
      </c>
      <c r="I444" s="439" t="s">
        <v>2419</v>
      </c>
      <c r="J444" s="502" t="s">
        <v>459</v>
      </c>
      <c r="K444" s="443" t="str">
        <f t="shared" si="11"/>
        <v/>
      </c>
    </row>
    <row r="445" spans="1:11" ht="15.75" customHeight="1">
      <c r="A445" s="500" t="s">
        <v>461</v>
      </c>
      <c r="B445" s="461" t="s">
        <v>2420</v>
      </c>
      <c r="C445" s="500" t="s">
        <v>2421</v>
      </c>
      <c r="D445" s="441" t="str">
        <f t="shared" si="10"/>
        <v>LAO Laos, Demokratische Volksrepublik</v>
      </c>
      <c r="E445" s="439" t="s">
        <v>2422</v>
      </c>
      <c r="F445" s="442" t="s">
        <v>2423</v>
      </c>
      <c r="G445" s="439" t="s">
        <v>2424</v>
      </c>
      <c r="H445" s="439" t="s">
        <v>2425</v>
      </c>
      <c r="I445" s="439" t="s">
        <v>2425</v>
      </c>
      <c r="J445" s="502" t="s">
        <v>461</v>
      </c>
      <c r="K445" s="443" t="str">
        <f t="shared" si="11"/>
        <v/>
      </c>
    </row>
    <row r="446" spans="1:11" ht="15.75" customHeight="1">
      <c r="A446" s="500" t="s">
        <v>463</v>
      </c>
      <c r="B446" s="461" t="s">
        <v>2426</v>
      </c>
      <c r="C446" s="500" t="s">
        <v>2427</v>
      </c>
      <c r="D446" s="441" t="str">
        <f t="shared" si="10"/>
        <v>LBN Libanon</v>
      </c>
      <c r="E446" s="439" t="s">
        <v>2428</v>
      </c>
      <c r="F446" s="442" t="s">
        <v>2429</v>
      </c>
      <c r="G446" s="439" t="s">
        <v>2430</v>
      </c>
      <c r="H446" s="439" t="s">
        <v>2431</v>
      </c>
      <c r="I446" s="439" t="s">
        <v>2432</v>
      </c>
      <c r="J446" s="502" t="s">
        <v>463</v>
      </c>
      <c r="K446" s="443" t="str">
        <f t="shared" si="11"/>
        <v/>
      </c>
    </row>
    <row r="447" spans="1:11" ht="15.75" customHeight="1">
      <c r="A447" s="500" t="s">
        <v>465</v>
      </c>
      <c r="B447" s="461" t="s">
        <v>2433</v>
      </c>
      <c r="C447" s="500" t="s">
        <v>2434</v>
      </c>
      <c r="D447" s="441" t="str">
        <f t="shared" si="10"/>
        <v>LBR Liberia</v>
      </c>
      <c r="E447" s="439" t="s">
        <v>464</v>
      </c>
      <c r="F447" s="442" t="s">
        <v>2435</v>
      </c>
      <c r="G447" s="439" t="s">
        <v>2435</v>
      </c>
      <c r="H447" s="439" t="s">
        <v>464</v>
      </c>
      <c r="I447" s="439" t="s">
        <v>2436</v>
      </c>
      <c r="J447" s="502" t="s">
        <v>465</v>
      </c>
      <c r="K447" s="443" t="str">
        <f t="shared" si="11"/>
        <v/>
      </c>
    </row>
    <row r="448" spans="1:11" ht="15.75" customHeight="1">
      <c r="A448" s="500" t="s">
        <v>467</v>
      </c>
      <c r="B448" s="461" t="s">
        <v>2437</v>
      </c>
      <c r="C448" s="500" t="s">
        <v>2438</v>
      </c>
      <c r="D448" s="441" t="str">
        <f t="shared" si="10"/>
        <v>LBY Libyen</v>
      </c>
      <c r="E448" s="439" t="s">
        <v>2439</v>
      </c>
      <c r="F448" s="442" t="s">
        <v>2440</v>
      </c>
      <c r="G448" s="439" t="s">
        <v>2441</v>
      </c>
      <c r="H448" s="439" t="s">
        <v>2442</v>
      </c>
      <c r="I448" s="439" t="s">
        <v>2443</v>
      </c>
      <c r="J448" s="502" t="s">
        <v>467</v>
      </c>
      <c r="K448" s="443" t="str">
        <f t="shared" si="11"/>
        <v/>
      </c>
    </row>
    <row r="449" spans="1:11" ht="15.75" customHeight="1">
      <c r="A449" s="500" t="s">
        <v>469</v>
      </c>
      <c r="B449" s="461" t="s">
        <v>2444</v>
      </c>
      <c r="C449" s="500" t="s">
        <v>2445</v>
      </c>
      <c r="D449" s="441" t="str">
        <f t="shared" si="10"/>
        <v>LCA St. Lucia</v>
      </c>
      <c r="E449" s="439" t="s">
        <v>468</v>
      </c>
      <c r="F449" s="442" t="s">
        <v>2446</v>
      </c>
      <c r="G449" s="439" t="s">
        <v>2447</v>
      </c>
      <c r="H449" s="439" t="s">
        <v>2448</v>
      </c>
      <c r="I449" s="439" t="s">
        <v>2449</v>
      </c>
      <c r="J449" s="502" t="s">
        <v>469</v>
      </c>
      <c r="K449" s="443" t="str">
        <f t="shared" si="11"/>
        <v/>
      </c>
    </row>
    <row r="450" spans="1:11" ht="15.75" customHeight="1">
      <c r="A450" s="500" t="s">
        <v>471</v>
      </c>
      <c r="B450" s="461" t="s">
        <v>2450</v>
      </c>
      <c r="C450" s="500" t="s">
        <v>2451</v>
      </c>
      <c r="D450" s="441" t="str">
        <f t="shared" si="10"/>
        <v>LIE Liechtenstein</v>
      </c>
      <c r="E450" s="439" t="s">
        <v>470</v>
      </c>
      <c r="F450" s="442" t="s">
        <v>2452</v>
      </c>
      <c r="G450" s="439" t="s">
        <v>2452</v>
      </c>
      <c r="H450" s="439" t="s">
        <v>470</v>
      </c>
      <c r="I450" s="439" t="s">
        <v>470</v>
      </c>
      <c r="J450" s="502" t="s">
        <v>471</v>
      </c>
      <c r="K450" s="443" t="str">
        <f t="shared" si="11"/>
        <v/>
      </c>
    </row>
    <row r="451" spans="1:11" ht="15.75" customHeight="1">
      <c r="A451" s="500" t="s">
        <v>473</v>
      </c>
      <c r="B451" s="461" t="s">
        <v>2453</v>
      </c>
      <c r="C451" s="500" t="s">
        <v>2454</v>
      </c>
      <c r="D451" s="441" t="str">
        <f t="shared" si="10"/>
        <v>LKA Sri Lanka</v>
      </c>
      <c r="E451" s="439" t="s">
        <v>472</v>
      </c>
      <c r="F451" s="442" t="s">
        <v>2455</v>
      </c>
      <c r="G451" s="439" t="s">
        <v>2455</v>
      </c>
      <c r="H451" s="439" t="s">
        <v>472</v>
      </c>
      <c r="I451" s="439" t="s">
        <v>472</v>
      </c>
      <c r="J451" s="502" t="s">
        <v>473</v>
      </c>
      <c r="K451" s="443" t="str">
        <f t="shared" si="11"/>
        <v/>
      </c>
    </row>
    <row r="452" spans="1:11" ht="15.75" customHeight="1">
      <c r="A452" s="500" t="s">
        <v>475</v>
      </c>
      <c r="B452" s="461" t="s">
        <v>2456</v>
      </c>
      <c r="C452" s="500" t="s">
        <v>2457</v>
      </c>
      <c r="D452" s="441" t="str">
        <f t="shared" si="10"/>
        <v>LSO Lesotho</v>
      </c>
      <c r="E452" s="439" t="s">
        <v>474</v>
      </c>
      <c r="F452" s="442" t="s">
        <v>2458</v>
      </c>
      <c r="G452" s="439" t="s">
        <v>2458</v>
      </c>
      <c r="H452" s="439" t="s">
        <v>2459</v>
      </c>
      <c r="I452" s="439" t="s">
        <v>474</v>
      </c>
      <c r="J452" s="502" t="s">
        <v>475</v>
      </c>
      <c r="K452" s="443" t="str">
        <f t="shared" si="11"/>
        <v/>
      </c>
    </row>
    <row r="453" spans="1:11" ht="15.75" customHeight="1">
      <c r="A453" s="500" t="s">
        <v>477</v>
      </c>
      <c r="B453" s="461" t="s">
        <v>2460</v>
      </c>
      <c r="C453" s="500" t="s">
        <v>2461</v>
      </c>
      <c r="D453" s="441" t="str">
        <f t="shared" si="10"/>
        <v>LTU Litauen</v>
      </c>
      <c r="E453" s="439" t="s">
        <v>2462</v>
      </c>
      <c r="F453" s="442" t="s">
        <v>2463</v>
      </c>
      <c r="G453" s="439" t="s">
        <v>2464</v>
      </c>
      <c r="H453" s="439" t="s">
        <v>2465</v>
      </c>
      <c r="I453" s="439" t="s">
        <v>2466</v>
      </c>
      <c r="J453" s="502" t="s">
        <v>477</v>
      </c>
      <c r="K453" s="443" t="str">
        <f t="shared" si="11"/>
        <v/>
      </c>
    </row>
    <row r="454" spans="1:11" ht="15.75" customHeight="1">
      <c r="A454" s="500" t="s">
        <v>479</v>
      </c>
      <c r="B454" s="461" t="s">
        <v>2467</v>
      </c>
      <c r="C454" s="500" t="s">
        <v>2468</v>
      </c>
      <c r="D454" s="441" t="str">
        <f t="shared" si="10"/>
        <v>LUX Luxemburg</v>
      </c>
      <c r="E454" s="439" t="s">
        <v>2469</v>
      </c>
      <c r="F454" s="442" t="s">
        <v>2470</v>
      </c>
      <c r="G454" s="439" t="s">
        <v>2471</v>
      </c>
      <c r="H454" s="439" t="s">
        <v>2472</v>
      </c>
      <c r="I454" s="439" t="s">
        <v>478</v>
      </c>
      <c r="J454" s="502" t="s">
        <v>479</v>
      </c>
      <c r="K454" s="443" t="str">
        <f t="shared" si="11"/>
        <v/>
      </c>
    </row>
    <row r="455" spans="1:11" ht="15.75" customHeight="1">
      <c r="A455" s="500" t="s">
        <v>481</v>
      </c>
      <c r="B455" s="461" t="s">
        <v>2473</v>
      </c>
      <c r="C455" s="500" t="s">
        <v>2474</v>
      </c>
      <c r="D455" s="441" t="str">
        <f t="shared" si="10"/>
        <v>LVA Lettland</v>
      </c>
      <c r="E455" s="439" t="s">
        <v>2475</v>
      </c>
      <c r="F455" s="442" t="s">
        <v>2476</v>
      </c>
      <c r="G455" s="439" t="s">
        <v>2477</v>
      </c>
      <c r="H455" s="439" t="s">
        <v>2478</v>
      </c>
      <c r="I455" s="439" t="s">
        <v>2479</v>
      </c>
      <c r="J455" s="502" t="s">
        <v>481</v>
      </c>
      <c r="K455" s="443" t="str">
        <f t="shared" si="11"/>
        <v/>
      </c>
    </row>
    <row r="456" spans="1:11" ht="15.75" customHeight="1">
      <c r="A456" s="500" t="s">
        <v>483</v>
      </c>
      <c r="B456" s="461" t="s">
        <v>2480</v>
      </c>
      <c r="C456" s="500" t="s">
        <v>2481</v>
      </c>
      <c r="D456" s="441" t="str">
        <f t="shared" si="10"/>
        <v>MAC Macao</v>
      </c>
      <c r="E456" s="439" t="s">
        <v>2482</v>
      </c>
      <c r="F456" s="442" t="s">
        <v>2483</v>
      </c>
      <c r="G456" s="439" t="s">
        <v>2483</v>
      </c>
      <c r="H456" s="439" t="s">
        <v>2482</v>
      </c>
      <c r="I456" s="439" t="s">
        <v>2482</v>
      </c>
      <c r="J456" s="502" t="s">
        <v>483</v>
      </c>
      <c r="K456" s="443" t="str">
        <f t="shared" si="11"/>
        <v/>
      </c>
    </row>
    <row r="457" spans="1:11" ht="15.75" customHeight="1">
      <c r="A457" s="500" t="s">
        <v>485</v>
      </c>
      <c r="B457" s="461" t="s">
        <v>2484</v>
      </c>
      <c r="C457" s="500" t="s">
        <v>2485</v>
      </c>
      <c r="D457" s="441" t="str">
        <f t="shared" si="10"/>
        <v>MAF Saint-Martin (franz. Teil)</v>
      </c>
      <c r="E457" s="439" t="s">
        <v>2486</v>
      </c>
      <c r="F457" s="442" t="s">
        <v>2487</v>
      </c>
      <c r="G457" s="439" t="s">
        <v>2488</v>
      </c>
      <c r="H457" s="439" t="s">
        <v>2489</v>
      </c>
      <c r="I457" s="439" t="s">
        <v>2490</v>
      </c>
      <c r="J457" s="502" t="s">
        <v>485</v>
      </c>
      <c r="K457" s="443" t="str">
        <f t="shared" si="11"/>
        <v/>
      </c>
    </row>
    <row r="458" spans="1:11" ht="15.75" customHeight="1">
      <c r="A458" s="500" t="s">
        <v>487</v>
      </c>
      <c r="B458" s="461" t="s">
        <v>2491</v>
      </c>
      <c r="C458" s="500" t="s">
        <v>2492</v>
      </c>
      <c r="D458" s="441" t="str">
        <f t="shared" si="10"/>
        <v>MAR Marokko</v>
      </c>
      <c r="E458" s="439" t="s">
        <v>2493</v>
      </c>
      <c r="F458" s="442" t="s">
        <v>2494</v>
      </c>
      <c r="G458" s="439" t="s">
        <v>2495</v>
      </c>
      <c r="H458" s="439" t="s">
        <v>2496</v>
      </c>
      <c r="I458" s="439" t="s">
        <v>2497</v>
      </c>
      <c r="J458" s="502" t="s">
        <v>487</v>
      </c>
      <c r="K458" s="443" t="str">
        <f t="shared" si="11"/>
        <v/>
      </c>
    </row>
    <row r="459" spans="1:11" ht="15.75" customHeight="1">
      <c r="A459" s="500" t="s">
        <v>489</v>
      </c>
      <c r="B459" s="461" t="s">
        <v>2498</v>
      </c>
      <c r="C459" s="500" t="s">
        <v>2499</v>
      </c>
      <c r="D459" s="441" t="str">
        <f t="shared" si="10"/>
        <v>MCO Monaco</v>
      </c>
      <c r="E459" s="439" t="s">
        <v>488</v>
      </c>
      <c r="F459" s="442" t="s">
        <v>2500</v>
      </c>
      <c r="G459" s="439" t="s">
        <v>2501</v>
      </c>
      <c r="H459" s="439" t="s">
        <v>2502</v>
      </c>
      <c r="I459" s="439" t="s">
        <v>488</v>
      </c>
      <c r="J459" s="502" t="s">
        <v>489</v>
      </c>
      <c r="K459" s="443" t="str">
        <f t="shared" si="11"/>
        <v/>
      </c>
    </row>
    <row r="460" spans="1:11" ht="15.75" customHeight="1">
      <c r="A460" s="500" t="s">
        <v>491</v>
      </c>
      <c r="B460" s="461" t="s">
        <v>2503</v>
      </c>
      <c r="C460" s="500" t="s">
        <v>2504</v>
      </c>
      <c r="D460" s="441" t="str">
        <f t="shared" si="10"/>
        <v>MDA Moldawien (Republik Moldau)</v>
      </c>
      <c r="E460" s="439" t="s">
        <v>2505</v>
      </c>
      <c r="F460" s="442" t="s">
        <v>2506</v>
      </c>
      <c r="G460" s="439" t="s">
        <v>2507</v>
      </c>
      <c r="H460" s="439" t="s">
        <v>2508</v>
      </c>
      <c r="I460" s="439" t="s">
        <v>2509</v>
      </c>
      <c r="J460" s="502" t="s">
        <v>491</v>
      </c>
      <c r="K460" s="443" t="str">
        <f t="shared" si="11"/>
        <v/>
      </c>
    </row>
    <row r="461" spans="1:11" ht="15.75" customHeight="1">
      <c r="A461" s="500" t="s">
        <v>493</v>
      </c>
      <c r="B461" s="461" t="s">
        <v>2510</v>
      </c>
      <c r="C461" s="500" t="s">
        <v>2511</v>
      </c>
      <c r="D461" s="441" t="str">
        <f t="shared" si="10"/>
        <v>MDG Madagaskar</v>
      </c>
      <c r="E461" s="439" t="s">
        <v>2512</v>
      </c>
      <c r="F461" s="442" t="s">
        <v>2513</v>
      </c>
      <c r="G461" s="439" t="s">
        <v>2513</v>
      </c>
      <c r="H461" s="439" t="s">
        <v>492</v>
      </c>
      <c r="I461" s="439" t="s">
        <v>492</v>
      </c>
      <c r="J461" s="502" t="s">
        <v>493</v>
      </c>
      <c r="K461" s="443" t="str">
        <f t="shared" si="11"/>
        <v/>
      </c>
    </row>
    <row r="462" spans="1:11" ht="15.75" customHeight="1">
      <c r="A462" s="500" t="s">
        <v>495</v>
      </c>
      <c r="B462" s="461" t="s">
        <v>2514</v>
      </c>
      <c r="C462" s="500" t="s">
        <v>2515</v>
      </c>
      <c r="D462" s="441" t="str">
        <f t="shared" si="10"/>
        <v>MDV Malediven</v>
      </c>
      <c r="E462" s="439" t="s">
        <v>2516</v>
      </c>
      <c r="F462" s="442" t="s">
        <v>2517</v>
      </c>
      <c r="G462" s="439" t="s">
        <v>2518</v>
      </c>
      <c r="H462" s="439" t="s">
        <v>2519</v>
      </c>
      <c r="I462" s="439" t="s">
        <v>494</v>
      </c>
      <c r="J462" s="502" t="s">
        <v>495</v>
      </c>
      <c r="K462" s="443" t="str">
        <f t="shared" si="11"/>
        <v/>
      </c>
    </row>
    <row r="463" spans="1:11" ht="15.75" customHeight="1">
      <c r="A463" s="500" t="s">
        <v>497</v>
      </c>
      <c r="B463" s="461" t="s">
        <v>2520</v>
      </c>
      <c r="C463" s="500" t="s">
        <v>2521</v>
      </c>
      <c r="D463" s="441" t="str">
        <f t="shared" si="10"/>
        <v>MEX Mexiko</v>
      </c>
      <c r="E463" s="439" t="s">
        <v>2522</v>
      </c>
      <c r="F463" s="442" t="s">
        <v>2523</v>
      </c>
      <c r="G463" s="439" t="s">
        <v>2524</v>
      </c>
      <c r="H463" s="439" t="s">
        <v>2525</v>
      </c>
      <c r="I463" s="439" t="s">
        <v>2526</v>
      </c>
      <c r="J463" s="502" t="s">
        <v>497</v>
      </c>
      <c r="K463" s="443" t="str">
        <f t="shared" si="11"/>
        <v/>
      </c>
    </row>
    <row r="464" spans="1:11" ht="15.75" customHeight="1">
      <c r="A464" s="500" t="s">
        <v>499</v>
      </c>
      <c r="B464" s="461" t="s">
        <v>2527</v>
      </c>
      <c r="C464" s="500" t="s">
        <v>2528</v>
      </c>
      <c r="D464" s="441" t="str">
        <f t="shared" si="10"/>
        <v>MHL Marshallinseln</v>
      </c>
      <c r="E464" s="439" t="s">
        <v>2529</v>
      </c>
      <c r="F464" s="442" t="s">
        <v>2530</v>
      </c>
      <c r="G464" s="439" t="s">
        <v>2531</v>
      </c>
      <c r="H464" s="439" t="s">
        <v>2532</v>
      </c>
      <c r="I464" s="439" t="s">
        <v>2533</v>
      </c>
      <c r="J464" s="502" t="s">
        <v>499</v>
      </c>
      <c r="K464" s="443" t="str">
        <f t="shared" si="11"/>
        <v/>
      </c>
    </row>
    <row r="465" spans="1:11" ht="15.75" customHeight="1">
      <c r="A465" s="500" t="s">
        <v>501</v>
      </c>
      <c r="B465" s="461" t="s">
        <v>2534</v>
      </c>
      <c r="C465" s="500" t="s">
        <v>2535</v>
      </c>
      <c r="D465" s="441" t="str">
        <f t="shared" si="10"/>
        <v>MKD Mazedonien</v>
      </c>
      <c r="E465" s="439" t="s">
        <v>2536</v>
      </c>
      <c r="F465" s="442" t="s">
        <v>2537</v>
      </c>
      <c r="G465" s="439" t="s">
        <v>2538</v>
      </c>
      <c r="H465" s="439" t="s">
        <v>2539</v>
      </c>
      <c r="I465" s="439" t="s">
        <v>2540</v>
      </c>
      <c r="J465" s="502" t="s">
        <v>501</v>
      </c>
      <c r="K465" s="443" t="str">
        <f t="shared" si="11"/>
        <v/>
      </c>
    </row>
    <row r="466" spans="1:11" ht="15.75" customHeight="1">
      <c r="A466" s="500" t="s">
        <v>503</v>
      </c>
      <c r="B466" s="461" t="s">
        <v>2541</v>
      </c>
      <c r="C466" s="500" t="s">
        <v>2542</v>
      </c>
      <c r="D466" s="441" t="str">
        <f t="shared" si="10"/>
        <v>MLI Mali</v>
      </c>
      <c r="E466" s="439" t="s">
        <v>502</v>
      </c>
      <c r="F466" s="442" t="s">
        <v>2543</v>
      </c>
      <c r="G466" s="439" t="s">
        <v>2543</v>
      </c>
      <c r="H466" s="439" t="s">
        <v>2544</v>
      </c>
      <c r="I466" s="439" t="s">
        <v>502</v>
      </c>
      <c r="J466" s="502" t="s">
        <v>503</v>
      </c>
      <c r="K466" s="443" t="str">
        <f t="shared" si="11"/>
        <v/>
      </c>
    </row>
    <row r="467" spans="1:11" ht="15.75" customHeight="1">
      <c r="A467" s="500" t="s">
        <v>505</v>
      </c>
      <c r="B467" s="461" t="s">
        <v>2545</v>
      </c>
      <c r="C467" s="500" t="s">
        <v>2546</v>
      </c>
      <c r="D467" s="441" t="str">
        <f t="shared" ref="D467:D530" si="12">A467&amp;" "&amp;HLOOKUP($C$1,$E$1:$V$4910,ROW(D467))</f>
        <v>MLT Malta</v>
      </c>
      <c r="E467" s="439" t="s">
        <v>504</v>
      </c>
      <c r="F467" s="442" t="s">
        <v>2547</v>
      </c>
      <c r="G467" s="439" t="s">
        <v>2547</v>
      </c>
      <c r="H467" s="439" t="s">
        <v>504</v>
      </c>
      <c r="I467" s="439" t="s">
        <v>2548</v>
      </c>
      <c r="J467" s="502" t="s">
        <v>505</v>
      </c>
      <c r="K467" s="443" t="str">
        <f t="shared" ref="K467:K530" si="13">IF(J467=A467,"","nix")</f>
        <v/>
      </c>
    </row>
    <row r="468" spans="1:11" ht="15.75" customHeight="1">
      <c r="A468" s="500" t="s">
        <v>507</v>
      </c>
      <c r="B468" s="461" t="s">
        <v>2549</v>
      </c>
      <c r="C468" s="500" t="s">
        <v>2550</v>
      </c>
      <c r="D468" s="441" t="str">
        <f t="shared" si="12"/>
        <v>MMR Myanmar (Burma)</v>
      </c>
      <c r="E468" s="439" t="s">
        <v>2551</v>
      </c>
      <c r="F468" s="442" t="s">
        <v>2552</v>
      </c>
      <c r="G468" s="439" t="s">
        <v>2553</v>
      </c>
      <c r="H468" s="439" t="s">
        <v>2554</v>
      </c>
      <c r="I468" s="439" t="s">
        <v>506</v>
      </c>
      <c r="J468" s="502" t="s">
        <v>507</v>
      </c>
      <c r="K468" s="443" t="str">
        <f t="shared" si="13"/>
        <v/>
      </c>
    </row>
    <row r="469" spans="1:11" ht="15.75" customHeight="1">
      <c r="A469" s="500" t="s">
        <v>509</v>
      </c>
      <c r="B469" s="461" t="s">
        <v>2555</v>
      </c>
      <c r="C469" s="500" t="s">
        <v>2556</v>
      </c>
      <c r="D469" s="441" t="str">
        <f t="shared" si="12"/>
        <v>MNE Montenegro</v>
      </c>
      <c r="E469" s="439" t="s">
        <v>508</v>
      </c>
      <c r="F469" s="442" t="s">
        <v>2557</v>
      </c>
      <c r="G469" s="439" t="s">
        <v>2557</v>
      </c>
      <c r="H469" s="439" t="s">
        <v>508</v>
      </c>
      <c r="I469" s="439" t="s">
        <v>2558</v>
      </c>
      <c r="J469" s="502" t="s">
        <v>509</v>
      </c>
      <c r="K469" s="443" t="str">
        <f t="shared" si="13"/>
        <v/>
      </c>
    </row>
    <row r="470" spans="1:11" ht="15.75" customHeight="1">
      <c r="A470" s="500" t="s">
        <v>511</v>
      </c>
      <c r="B470" s="461" t="s">
        <v>2559</v>
      </c>
      <c r="C470" s="500" t="s">
        <v>2560</v>
      </c>
      <c r="D470" s="441" t="str">
        <f t="shared" si="12"/>
        <v>MNG Mongolei</v>
      </c>
      <c r="E470" s="439" t="s">
        <v>2561</v>
      </c>
      <c r="F470" s="442" t="s">
        <v>2562</v>
      </c>
      <c r="G470" s="439" t="s">
        <v>2562</v>
      </c>
      <c r="H470" s="439" t="s">
        <v>510</v>
      </c>
      <c r="I470" s="439" t="s">
        <v>2563</v>
      </c>
      <c r="J470" s="502" t="s">
        <v>511</v>
      </c>
      <c r="K470" s="443" t="str">
        <f t="shared" si="13"/>
        <v/>
      </c>
    </row>
    <row r="471" spans="1:11" ht="15.75" customHeight="1">
      <c r="A471" s="500" t="s">
        <v>513</v>
      </c>
      <c r="B471" s="461" t="s">
        <v>2564</v>
      </c>
      <c r="C471" s="500" t="s">
        <v>2565</v>
      </c>
      <c r="D471" s="441" t="str">
        <f t="shared" si="12"/>
        <v>MNP Nördliche Marianen</v>
      </c>
      <c r="E471" s="439" t="s">
        <v>2566</v>
      </c>
      <c r="F471" s="442" t="s">
        <v>2567</v>
      </c>
      <c r="G471" s="439" t="s">
        <v>2568</v>
      </c>
      <c r="H471" s="439" t="s">
        <v>2569</v>
      </c>
      <c r="I471" s="439" t="s">
        <v>2570</v>
      </c>
      <c r="J471" s="502" t="s">
        <v>513</v>
      </c>
      <c r="K471" s="443" t="str">
        <f t="shared" si="13"/>
        <v/>
      </c>
    </row>
    <row r="472" spans="1:11" ht="15.75" customHeight="1">
      <c r="A472" s="500" t="s">
        <v>515</v>
      </c>
      <c r="B472" s="461" t="s">
        <v>2571</v>
      </c>
      <c r="C472" s="500" t="s">
        <v>2572</v>
      </c>
      <c r="D472" s="441" t="str">
        <f t="shared" si="12"/>
        <v>MOZ Mosambik</v>
      </c>
      <c r="E472" s="439" t="s">
        <v>2573</v>
      </c>
      <c r="F472" s="442" t="s">
        <v>2574</v>
      </c>
      <c r="G472" s="439" t="s">
        <v>2575</v>
      </c>
      <c r="H472" s="439" t="s">
        <v>514</v>
      </c>
      <c r="I472" s="439" t="s">
        <v>514</v>
      </c>
      <c r="J472" s="502" t="s">
        <v>515</v>
      </c>
      <c r="K472" s="443" t="str">
        <f t="shared" si="13"/>
        <v/>
      </c>
    </row>
    <row r="473" spans="1:11" ht="15.75" customHeight="1">
      <c r="A473" s="500" t="s">
        <v>517</v>
      </c>
      <c r="B473" s="461" t="s">
        <v>2576</v>
      </c>
      <c r="C473" s="500" t="s">
        <v>2577</v>
      </c>
      <c r="D473" s="441" t="str">
        <f t="shared" si="12"/>
        <v>MRT Mauretanien</v>
      </c>
      <c r="E473" s="439" t="s">
        <v>2578</v>
      </c>
      <c r="F473" s="442" t="s">
        <v>2579</v>
      </c>
      <c r="G473" s="439" t="s">
        <v>2579</v>
      </c>
      <c r="H473" s="439" t="s">
        <v>516</v>
      </c>
      <c r="I473" s="439" t="s">
        <v>2580</v>
      </c>
      <c r="J473" s="502" t="s">
        <v>517</v>
      </c>
      <c r="K473" s="443" t="str">
        <f t="shared" si="13"/>
        <v/>
      </c>
    </row>
    <row r="474" spans="1:11" ht="15.75" customHeight="1">
      <c r="A474" s="500" t="s">
        <v>519</v>
      </c>
      <c r="B474" s="461" t="s">
        <v>2581</v>
      </c>
      <c r="C474" s="500" t="s">
        <v>2582</v>
      </c>
      <c r="D474" s="441" t="str">
        <f t="shared" si="12"/>
        <v>MUS Mauritius</v>
      </c>
      <c r="E474" s="439" t="s">
        <v>518</v>
      </c>
      <c r="F474" s="442" t="s">
        <v>2583</v>
      </c>
      <c r="G474" s="439" t="s">
        <v>2583</v>
      </c>
      <c r="H474" s="439" t="s">
        <v>2584</v>
      </c>
      <c r="I474" s="439" t="s">
        <v>2585</v>
      </c>
      <c r="J474" s="502" t="s">
        <v>519</v>
      </c>
      <c r="K474" s="443" t="str">
        <f t="shared" si="13"/>
        <v/>
      </c>
    </row>
    <row r="475" spans="1:11" ht="15.75" customHeight="1">
      <c r="A475" s="500" t="s">
        <v>521</v>
      </c>
      <c r="B475" s="461" t="s">
        <v>2586</v>
      </c>
      <c r="C475" s="500" t="s">
        <v>2587</v>
      </c>
      <c r="D475" s="441" t="str">
        <f t="shared" si="12"/>
        <v>MWI Malawi</v>
      </c>
      <c r="E475" s="439" t="s">
        <v>520</v>
      </c>
      <c r="F475" s="442" t="s">
        <v>2588</v>
      </c>
      <c r="G475" s="439" t="s">
        <v>2588</v>
      </c>
      <c r="H475" s="439" t="s">
        <v>2589</v>
      </c>
      <c r="I475" s="439" t="s">
        <v>520</v>
      </c>
      <c r="J475" s="502" t="s">
        <v>521</v>
      </c>
      <c r="K475" s="443" t="str">
        <f t="shared" si="13"/>
        <v/>
      </c>
    </row>
    <row r="476" spans="1:11" ht="15.75" customHeight="1">
      <c r="A476" s="500" t="s">
        <v>523</v>
      </c>
      <c r="B476" s="461" t="s">
        <v>2590</v>
      </c>
      <c r="C476" s="500" t="s">
        <v>2591</v>
      </c>
      <c r="D476" s="441" t="str">
        <f t="shared" si="12"/>
        <v>MYS Malaysia</v>
      </c>
      <c r="E476" s="439" t="s">
        <v>522</v>
      </c>
      <c r="F476" s="442" t="s">
        <v>2592</v>
      </c>
      <c r="G476" s="439" t="s">
        <v>2593</v>
      </c>
      <c r="H476" s="439" t="s">
        <v>2594</v>
      </c>
      <c r="I476" s="439" t="s">
        <v>2595</v>
      </c>
      <c r="J476" s="502" t="s">
        <v>523</v>
      </c>
      <c r="K476" s="443" t="str">
        <f t="shared" si="13"/>
        <v/>
      </c>
    </row>
    <row r="477" spans="1:11" ht="15.75" customHeight="1">
      <c r="A477" s="500" t="s">
        <v>525</v>
      </c>
      <c r="B477" s="461" t="s">
        <v>2596</v>
      </c>
      <c r="C477" s="500" t="s">
        <v>2597</v>
      </c>
      <c r="D477" s="441" t="str">
        <f t="shared" si="12"/>
        <v>NAM Namibia</v>
      </c>
      <c r="E477" s="439" t="s">
        <v>524</v>
      </c>
      <c r="F477" s="442" t="s">
        <v>2598</v>
      </c>
      <c r="G477" s="439" t="s">
        <v>2598</v>
      </c>
      <c r="H477" s="439" t="s">
        <v>524</v>
      </c>
      <c r="I477" s="439" t="s">
        <v>2599</v>
      </c>
      <c r="J477" s="502" t="s">
        <v>525</v>
      </c>
      <c r="K477" s="443" t="str">
        <f t="shared" si="13"/>
        <v/>
      </c>
    </row>
    <row r="478" spans="1:11" ht="15.75" customHeight="1">
      <c r="A478" s="500" t="s">
        <v>527</v>
      </c>
      <c r="B478" s="461" t="s">
        <v>2600</v>
      </c>
      <c r="C478" s="500" t="s">
        <v>2601</v>
      </c>
      <c r="D478" s="441" t="str">
        <f t="shared" si="12"/>
        <v>NCL Neukaledonien</v>
      </c>
      <c r="E478" s="439" t="s">
        <v>2602</v>
      </c>
      <c r="F478" s="442" t="s">
        <v>2603</v>
      </c>
      <c r="G478" s="439" t="s">
        <v>2604</v>
      </c>
      <c r="H478" s="439" t="s">
        <v>2605</v>
      </c>
      <c r="I478" s="439" t="s">
        <v>2606</v>
      </c>
      <c r="J478" s="502" t="s">
        <v>527</v>
      </c>
      <c r="K478" s="443" t="str">
        <f t="shared" si="13"/>
        <v/>
      </c>
    </row>
    <row r="479" spans="1:11" ht="15.75" customHeight="1">
      <c r="A479" s="500" t="s">
        <v>529</v>
      </c>
      <c r="B479" s="461" t="s">
        <v>2607</v>
      </c>
      <c r="C479" s="500" t="s">
        <v>2608</v>
      </c>
      <c r="D479" s="441" t="str">
        <f t="shared" si="12"/>
        <v>NER Niger</v>
      </c>
      <c r="E479" s="439" t="s">
        <v>528</v>
      </c>
      <c r="F479" s="442" t="s">
        <v>2609</v>
      </c>
      <c r="G479" s="439" t="s">
        <v>2609</v>
      </c>
      <c r="H479" s="439" t="s">
        <v>2610</v>
      </c>
      <c r="I479" s="439" t="s">
        <v>528</v>
      </c>
      <c r="J479" s="502" t="s">
        <v>529</v>
      </c>
      <c r="K479" s="443" t="str">
        <f t="shared" si="13"/>
        <v/>
      </c>
    </row>
    <row r="480" spans="1:11" ht="15.75" customHeight="1">
      <c r="A480" s="500" t="s">
        <v>531</v>
      </c>
      <c r="B480" s="461" t="s">
        <v>2611</v>
      </c>
      <c r="C480" s="500" t="s">
        <v>2612</v>
      </c>
      <c r="D480" s="441" t="str">
        <f t="shared" si="12"/>
        <v>NGA Nigeria</v>
      </c>
      <c r="E480" s="439" t="s">
        <v>530</v>
      </c>
      <c r="F480" s="442" t="s">
        <v>2613</v>
      </c>
      <c r="G480" s="439" t="s">
        <v>2613</v>
      </c>
      <c r="H480" s="439" t="s">
        <v>530</v>
      </c>
      <c r="I480" s="439" t="s">
        <v>2614</v>
      </c>
      <c r="J480" s="502" t="s">
        <v>531</v>
      </c>
      <c r="K480" s="443" t="str">
        <f t="shared" si="13"/>
        <v/>
      </c>
    </row>
    <row r="481" spans="1:11" ht="15.75" customHeight="1">
      <c r="A481" s="500" t="s">
        <v>533</v>
      </c>
      <c r="B481" s="461" t="s">
        <v>2615</v>
      </c>
      <c r="C481" s="500" t="s">
        <v>2616</v>
      </c>
      <c r="D481" s="441" t="str">
        <f t="shared" si="12"/>
        <v>NIC Nicaragua</v>
      </c>
      <c r="E481" s="439" t="s">
        <v>532</v>
      </c>
      <c r="F481" s="442" t="s">
        <v>2617</v>
      </c>
      <c r="G481" s="439" t="s">
        <v>2617</v>
      </c>
      <c r="H481" s="439" t="s">
        <v>532</v>
      </c>
      <c r="I481" s="439" t="s">
        <v>532</v>
      </c>
      <c r="J481" s="502" t="s">
        <v>533</v>
      </c>
      <c r="K481" s="443" t="str">
        <f t="shared" si="13"/>
        <v/>
      </c>
    </row>
    <row r="482" spans="1:11" ht="15.75" customHeight="1">
      <c r="A482" s="500" t="s">
        <v>535</v>
      </c>
      <c r="B482" s="461" t="s">
        <v>2618</v>
      </c>
      <c r="C482" s="500" t="s">
        <v>2619</v>
      </c>
      <c r="D482" s="441" t="str">
        <f t="shared" si="12"/>
        <v>NLD Niederlande</v>
      </c>
      <c r="E482" s="439" t="s">
        <v>2620</v>
      </c>
      <c r="F482" s="442" t="s">
        <v>2621</v>
      </c>
      <c r="G482" s="439" t="s">
        <v>2622</v>
      </c>
      <c r="H482" s="439" t="s">
        <v>2623</v>
      </c>
      <c r="I482" s="439" t="s">
        <v>2624</v>
      </c>
      <c r="J482" s="502" t="s">
        <v>535</v>
      </c>
      <c r="K482" s="443" t="str">
        <f t="shared" si="13"/>
        <v/>
      </c>
    </row>
    <row r="483" spans="1:11" ht="15.75" customHeight="1">
      <c r="A483" s="500" t="s">
        <v>537</v>
      </c>
      <c r="B483" s="461" t="s">
        <v>2625</v>
      </c>
      <c r="C483" s="500" t="s">
        <v>2626</v>
      </c>
      <c r="D483" s="441" t="str">
        <f t="shared" si="12"/>
        <v>NOR Norwegen</v>
      </c>
      <c r="E483" s="439" t="s">
        <v>2627</v>
      </c>
      <c r="F483" s="442" t="s">
        <v>2628</v>
      </c>
      <c r="G483" s="439" t="s">
        <v>2629</v>
      </c>
      <c r="H483" s="439" t="s">
        <v>2630</v>
      </c>
      <c r="I483" s="439" t="s">
        <v>2631</v>
      </c>
      <c r="J483" s="502" t="s">
        <v>537</v>
      </c>
      <c r="K483" s="443" t="str">
        <f t="shared" si="13"/>
        <v/>
      </c>
    </row>
    <row r="484" spans="1:11" ht="15.75" customHeight="1">
      <c r="A484" s="500" t="s">
        <v>539</v>
      </c>
      <c r="B484" s="461" t="s">
        <v>2632</v>
      </c>
      <c r="C484" s="500" t="s">
        <v>2633</v>
      </c>
      <c r="D484" s="441" t="str">
        <f t="shared" si="12"/>
        <v>NPL Nepal</v>
      </c>
      <c r="E484" s="439" t="s">
        <v>538</v>
      </c>
      <c r="F484" s="442" t="s">
        <v>2634</v>
      </c>
      <c r="G484" s="439" t="s">
        <v>2634</v>
      </c>
      <c r="H484" s="439" t="s">
        <v>538</v>
      </c>
      <c r="I484" s="439" t="s">
        <v>2635</v>
      </c>
      <c r="J484" s="502" t="s">
        <v>539</v>
      </c>
      <c r="K484" s="443" t="str">
        <f t="shared" si="13"/>
        <v/>
      </c>
    </row>
    <row r="485" spans="1:11" ht="15.75" customHeight="1">
      <c r="A485" s="500" t="s">
        <v>541</v>
      </c>
      <c r="B485" s="461" t="s">
        <v>2636</v>
      </c>
      <c r="C485" s="500" t="s">
        <v>2637</v>
      </c>
      <c r="D485" s="441" t="str">
        <f t="shared" si="12"/>
        <v>NRU Nauru</v>
      </c>
      <c r="E485" s="439" t="s">
        <v>540</v>
      </c>
      <c r="F485" s="442" t="s">
        <v>2638</v>
      </c>
      <c r="G485" s="439" t="s">
        <v>2638</v>
      </c>
      <c r="H485" s="439" t="s">
        <v>540</v>
      </c>
      <c r="I485" s="439" t="s">
        <v>540</v>
      </c>
      <c r="J485" s="502" t="s">
        <v>541</v>
      </c>
      <c r="K485" s="443" t="str">
        <f t="shared" si="13"/>
        <v/>
      </c>
    </row>
    <row r="486" spans="1:11" ht="15.75" customHeight="1">
      <c r="A486" s="500" t="s">
        <v>543</v>
      </c>
      <c r="B486" s="461" t="s">
        <v>2639</v>
      </c>
      <c r="C486" s="500" t="s">
        <v>2640</v>
      </c>
      <c r="D486" s="441" t="str">
        <f t="shared" si="12"/>
        <v>NZL Neuseeland</v>
      </c>
      <c r="E486" s="439" t="s">
        <v>2641</v>
      </c>
      <c r="F486" s="442" t="s">
        <v>2642</v>
      </c>
      <c r="G486" s="439" t="s">
        <v>2643</v>
      </c>
      <c r="H486" s="439" t="s">
        <v>2644</v>
      </c>
      <c r="I486" s="439" t="s">
        <v>2645</v>
      </c>
      <c r="J486" s="502" t="s">
        <v>543</v>
      </c>
      <c r="K486" s="443" t="str">
        <f t="shared" si="13"/>
        <v/>
      </c>
    </row>
    <row r="487" spans="1:11" ht="15.75" customHeight="1">
      <c r="A487" s="500" t="s">
        <v>545</v>
      </c>
      <c r="B487" s="461" t="s">
        <v>2646</v>
      </c>
      <c r="C487" s="500" t="s">
        <v>2647</v>
      </c>
      <c r="D487" s="441" t="str">
        <f t="shared" si="12"/>
        <v>OMN Oman</v>
      </c>
      <c r="E487" s="439" t="s">
        <v>544</v>
      </c>
      <c r="F487" s="442" t="s">
        <v>2648</v>
      </c>
      <c r="G487" s="439" t="s">
        <v>2648</v>
      </c>
      <c r="H487" s="439" t="s">
        <v>2649</v>
      </c>
      <c r="I487" s="439" t="s">
        <v>544</v>
      </c>
      <c r="J487" s="502" t="s">
        <v>545</v>
      </c>
      <c r="K487" s="443" t="str">
        <f t="shared" si="13"/>
        <v/>
      </c>
    </row>
    <row r="488" spans="1:11" ht="15.75" customHeight="1">
      <c r="A488" s="500" t="s">
        <v>547</v>
      </c>
      <c r="B488" s="461" t="s">
        <v>2650</v>
      </c>
      <c r="C488" s="500" t="s">
        <v>2651</v>
      </c>
      <c r="D488" s="441" t="str">
        <f t="shared" si="12"/>
        <v>PAK Pakistan</v>
      </c>
      <c r="E488" s="439" t="s">
        <v>546</v>
      </c>
      <c r="F488" s="442" t="s">
        <v>2652</v>
      </c>
      <c r="G488" s="439" t="s">
        <v>2652</v>
      </c>
      <c r="H488" s="439" t="s">
        <v>2653</v>
      </c>
      <c r="I488" s="439" t="s">
        <v>546</v>
      </c>
      <c r="J488" s="502" t="s">
        <v>547</v>
      </c>
      <c r="K488" s="443" t="str">
        <f t="shared" si="13"/>
        <v/>
      </c>
    </row>
    <row r="489" spans="1:11" ht="15.75" customHeight="1">
      <c r="A489" s="500" t="s">
        <v>549</v>
      </c>
      <c r="B489" s="461" t="s">
        <v>2654</v>
      </c>
      <c r="C489" s="500" t="s">
        <v>2655</v>
      </c>
      <c r="D489" s="441" t="str">
        <f t="shared" si="12"/>
        <v>PAN Panama</v>
      </c>
      <c r="E489" s="439" t="s">
        <v>548</v>
      </c>
      <c r="F489" s="442" t="s">
        <v>2656</v>
      </c>
      <c r="G489" s="439" t="s">
        <v>2657</v>
      </c>
      <c r="H489" s="439" t="s">
        <v>2658</v>
      </c>
      <c r="I489" s="439" t="s">
        <v>548</v>
      </c>
      <c r="J489" s="502" t="s">
        <v>549</v>
      </c>
      <c r="K489" s="443" t="str">
        <f t="shared" si="13"/>
        <v/>
      </c>
    </row>
    <row r="490" spans="1:11" ht="15.75" customHeight="1">
      <c r="A490" s="500" t="s">
        <v>551</v>
      </c>
      <c r="B490" s="461" t="s">
        <v>2659</v>
      </c>
      <c r="C490" s="500" t="s">
        <v>2660</v>
      </c>
      <c r="D490" s="441" t="str">
        <f t="shared" si="12"/>
        <v>PER Peru</v>
      </c>
      <c r="E490" s="439" t="s">
        <v>550</v>
      </c>
      <c r="F490" s="442" t="s">
        <v>2661</v>
      </c>
      <c r="G490" s="439" t="s">
        <v>2662</v>
      </c>
      <c r="H490" s="439" t="s">
        <v>2663</v>
      </c>
      <c r="I490" s="439" t="s">
        <v>2664</v>
      </c>
      <c r="J490" s="502" t="s">
        <v>551</v>
      </c>
      <c r="K490" s="443" t="str">
        <f t="shared" si="13"/>
        <v/>
      </c>
    </row>
    <row r="491" spans="1:11" ht="15.75" customHeight="1">
      <c r="A491" s="500" t="s">
        <v>553</v>
      </c>
      <c r="B491" s="461" t="s">
        <v>2665</v>
      </c>
      <c r="C491" s="500" t="s">
        <v>2666</v>
      </c>
      <c r="D491" s="441" t="str">
        <f t="shared" si="12"/>
        <v>PHL Philippinen</v>
      </c>
      <c r="E491" s="439" t="s">
        <v>2667</v>
      </c>
      <c r="F491" s="442" t="s">
        <v>2668</v>
      </c>
      <c r="G491" s="439" t="s">
        <v>2669</v>
      </c>
      <c r="H491" s="439" t="s">
        <v>2670</v>
      </c>
      <c r="I491" s="439" t="s">
        <v>552</v>
      </c>
      <c r="J491" s="502" t="s">
        <v>553</v>
      </c>
      <c r="K491" s="443" t="str">
        <f t="shared" si="13"/>
        <v/>
      </c>
    </row>
    <row r="492" spans="1:11" ht="15.75" customHeight="1">
      <c r="A492" s="500" t="s">
        <v>555</v>
      </c>
      <c r="B492" s="461" t="s">
        <v>2671</v>
      </c>
      <c r="C492" s="500" t="s">
        <v>2672</v>
      </c>
      <c r="D492" s="441" t="str">
        <f t="shared" si="12"/>
        <v>PLW Palau</v>
      </c>
      <c r="E492" s="439" t="s">
        <v>554</v>
      </c>
      <c r="F492" s="442" t="s">
        <v>2673</v>
      </c>
      <c r="G492" s="439" t="s">
        <v>2673</v>
      </c>
      <c r="H492" s="439" t="s">
        <v>2674</v>
      </c>
      <c r="I492" s="439" t="s">
        <v>2674</v>
      </c>
      <c r="J492" s="502" t="s">
        <v>555</v>
      </c>
      <c r="K492" s="443" t="str">
        <f t="shared" si="13"/>
        <v/>
      </c>
    </row>
    <row r="493" spans="1:11" ht="15.75" customHeight="1">
      <c r="A493" s="500" t="s">
        <v>557</v>
      </c>
      <c r="B493" s="461" t="s">
        <v>2675</v>
      </c>
      <c r="C493" s="500" t="s">
        <v>2676</v>
      </c>
      <c r="D493" s="441" t="str">
        <f t="shared" si="12"/>
        <v>PNG Papua-Neuguinea</v>
      </c>
      <c r="E493" s="439" t="s">
        <v>2677</v>
      </c>
      <c r="F493" s="442" t="s">
        <v>2678</v>
      </c>
      <c r="G493" s="439" t="s">
        <v>2679</v>
      </c>
      <c r="H493" s="439" t="s">
        <v>2680</v>
      </c>
      <c r="I493" s="439" t="s">
        <v>2681</v>
      </c>
      <c r="J493" s="502" t="s">
        <v>557</v>
      </c>
      <c r="K493" s="443" t="str">
        <f t="shared" si="13"/>
        <v/>
      </c>
    </row>
    <row r="494" spans="1:11" ht="15.75" customHeight="1">
      <c r="A494" s="500" t="s">
        <v>559</v>
      </c>
      <c r="B494" s="461" t="s">
        <v>2682</v>
      </c>
      <c r="C494" s="500" t="s">
        <v>2683</v>
      </c>
      <c r="D494" s="441" t="str">
        <f t="shared" si="12"/>
        <v>POL Polen</v>
      </c>
      <c r="E494" s="439" t="s">
        <v>2684</v>
      </c>
      <c r="F494" s="442" t="s">
        <v>2685</v>
      </c>
      <c r="G494" s="439" t="s">
        <v>2686</v>
      </c>
      <c r="H494" s="439" t="s">
        <v>2687</v>
      </c>
      <c r="I494" s="439" t="s">
        <v>2688</v>
      </c>
      <c r="J494" s="502" t="s">
        <v>559</v>
      </c>
      <c r="K494" s="443" t="str">
        <f t="shared" si="13"/>
        <v/>
      </c>
    </row>
    <row r="495" spans="1:11" ht="15.75" customHeight="1">
      <c r="A495" s="500" t="s">
        <v>561</v>
      </c>
      <c r="B495" s="461" t="s">
        <v>2689</v>
      </c>
      <c r="C495" s="500" t="s">
        <v>2690</v>
      </c>
      <c r="D495" s="441" t="str">
        <f t="shared" si="12"/>
        <v>PRI Puerto Rico</v>
      </c>
      <c r="E495" s="439" t="s">
        <v>560</v>
      </c>
      <c r="F495" s="442" t="s">
        <v>2691</v>
      </c>
      <c r="G495" s="439" t="s">
        <v>2692</v>
      </c>
      <c r="H495" s="439" t="s">
        <v>560</v>
      </c>
      <c r="I495" s="439" t="s">
        <v>560</v>
      </c>
      <c r="J495" s="502" t="s">
        <v>561</v>
      </c>
      <c r="K495" s="443" t="str">
        <f t="shared" si="13"/>
        <v/>
      </c>
    </row>
    <row r="496" spans="1:11" ht="15.75" customHeight="1">
      <c r="A496" s="500" t="s">
        <v>563</v>
      </c>
      <c r="B496" s="461" t="s">
        <v>2693</v>
      </c>
      <c r="C496" s="500" t="s">
        <v>2694</v>
      </c>
      <c r="D496" s="441" t="str">
        <f t="shared" si="12"/>
        <v>PRK Korea, Demokratische Volksrepublik (Nordkorea)</v>
      </c>
      <c r="E496" s="439" t="s">
        <v>2695</v>
      </c>
      <c r="F496" s="442" t="s">
        <v>2696</v>
      </c>
      <c r="G496" s="439" t="s">
        <v>2697</v>
      </c>
      <c r="H496" s="439" t="s">
        <v>2698</v>
      </c>
      <c r="I496" s="439" t="s">
        <v>2699</v>
      </c>
      <c r="J496" s="502" t="s">
        <v>563</v>
      </c>
      <c r="K496" s="443" t="str">
        <f t="shared" si="13"/>
        <v/>
      </c>
    </row>
    <row r="497" spans="1:11" ht="15.75" customHeight="1">
      <c r="A497" s="500" t="s">
        <v>565</v>
      </c>
      <c r="B497" s="461" t="s">
        <v>2700</v>
      </c>
      <c r="C497" s="500" t="s">
        <v>2701</v>
      </c>
      <c r="D497" s="441" t="str">
        <f t="shared" si="12"/>
        <v>PRT Portugal</v>
      </c>
      <c r="E497" s="439" t="s">
        <v>564</v>
      </c>
      <c r="F497" s="442" t="s">
        <v>2702</v>
      </c>
      <c r="G497" s="439" t="s">
        <v>2703</v>
      </c>
      <c r="H497" s="439" t="s">
        <v>564</v>
      </c>
      <c r="I497" s="439" t="s">
        <v>564</v>
      </c>
      <c r="J497" s="502" t="s">
        <v>565</v>
      </c>
      <c r="K497" s="443" t="str">
        <f t="shared" si="13"/>
        <v/>
      </c>
    </row>
    <row r="498" spans="1:11" ht="15.75" customHeight="1">
      <c r="A498" s="500" t="s">
        <v>567</v>
      </c>
      <c r="B498" s="461" t="s">
        <v>2704</v>
      </c>
      <c r="C498" s="500" t="s">
        <v>2705</v>
      </c>
      <c r="D498" s="441" t="str">
        <f t="shared" si="12"/>
        <v>PRY Paraguay</v>
      </c>
      <c r="E498" s="439" t="s">
        <v>566</v>
      </c>
      <c r="F498" s="442" t="s">
        <v>2706</v>
      </c>
      <c r="G498" s="439" t="s">
        <v>2706</v>
      </c>
      <c r="H498" s="439" t="s">
        <v>566</v>
      </c>
      <c r="I498" s="439" t="s">
        <v>566</v>
      </c>
      <c r="J498" s="502" t="s">
        <v>567</v>
      </c>
      <c r="K498" s="443" t="str">
        <f t="shared" si="13"/>
        <v/>
      </c>
    </row>
    <row r="499" spans="1:11" ht="15.75" customHeight="1">
      <c r="A499" s="500" t="s">
        <v>569</v>
      </c>
      <c r="B499" s="461" t="s">
        <v>2707</v>
      </c>
      <c r="C499" s="500" t="s">
        <v>2708</v>
      </c>
      <c r="D499" s="441" t="str">
        <f t="shared" si="12"/>
        <v>PSE Palästinensische Autonomiegebiete</v>
      </c>
      <c r="E499" s="439" t="s">
        <v>2709</v>
      </c>
      <c r="F499" s="442" t="s">
        <v>2710</v>
      </c>
      <c r="G499" s="439" t="s">
        <v>2711</v>
      </c>
      <c r="H499" s="439" t="s">
        <v>2712</v>
      </c>
      <c r="I499" s="439" t="s">
        <v>2713</v>
      </c>
      <c r="J499" s="502" t="s">
        <v>569</v>
      </c>
      <c r="K499" s="443" t="str">
        <f t="shared" si="13"/>
        <v/>
      </c>
    </row>
    <row r="500" spans="1:11" ht="15.75" customHeight="1">
      <c r="A500" s="500" t="s">
        <v>571</v>
      </c>
      <c r="B500" s="461" t="s">
        <v>2714</v>
      </c>
      <c r="C500" s="500" t="s">
        <v>2715</v>
      </c>
      <c r="D500" s="441" t="str">
        <f t="shared" si="12"/>
        <v>PYF Französisch-Polynesien</v>
      </c>
      <c r="E500" s="439" t="s">
        <v>2716</v>
      </c>
      <c r="F500" s="442" t="s">
        <v>2717</v>
      </c>
      <c r="G500" s="439" t="s">
        <v>2718</v>
      </c>
      <c r="H500" s="439" t="s">
        <v>2719</v>
      </c>
      <c r="I500" s="439" t="s">
        <v>2720</v>
      </c>
      <c r="J500" s="502" t="s">
        <v>571</v>
      </c>
      <c r="K500" s="443" t="str">
        <f t="shared" si="13"/>
        <v/>
      </c>
    </row>
    <row r="501" spans="1:11" ht="15.75" customHeight="1">
      <c r="A501" s="500" t="s">
        <v>573</v>
      </c>
      <c r="B501" s="461" t="s">
        <v>2721</v>
      </c>
      <c r="C501" s="500" t="s">
        <v>2722</v>
      </c>
      <c r="D501" s="441" t="str">
        <f t="shared" si="12"/>
        <v>QAT Katar</v>
      </c>
      <c r="E501" s="439" t="s">
        <v>2723</v>
      </c>
      <c r="F501" s="442" t="s">
        <v>2724</v>
      </c>
      <c r="G501" s="439" t="s">
        <v>2724</v>
      </c>
      <c r="H501" s="439" t="s">
        <v>2725</v>
      </c>
      <c r="I501" s="439" t="s">
        <v>572</v>
      </c>
      <c r="J501" s="502" t="s">
        <v>573</v>
      </c>
      <c r="K501" s="443" t="str">
        <f t="shared" si="13"/>
        <v/>
      </c>
    </row>
    <row r="502" spans="1:11" ht="15.75" customHeight="1">
      <c r="A502" s="500" t="s">
        <v>575</v>
      </c>
      <c r="B502" s="461" t="s">
        <v>2726</v>
      </c>
      <c r="C502" s="500" t="s">
        <v>2727</v>
      </c>
      <c r="D502" s="441" t="str">
        <f t="shared" si="12"/>
        <v>ROU Rumänien</v>
      </c>
      <c r="E502" s="439" t="s">
        <v>2728</v>
      </c>
      <c r="F502" s="442" t="s">
        <v>2729</v>
      </c>
      <c r="G502" s="439" t="s">
        <v>2729</v>
      </c>
      <c r="H502" s="439" t="s">
        <v>2730</v>
      </c>
      <c r="I502" s="439" t="s">
        <v>2731</v>
      </c>
      <c r="J502" s="502" t="s">
        <v>575</v>
      </c>
      <c r="K502" s="443" t="str">
        <f t="shared" si="13"/>
        <v/>
      </c>
    </row>
    <row r="503" spans="1:11" ht="15.75" customHeight="1">
      <c r="A503" s="500" t="s">
        <v>577</v>
      </c>
      <c r="B503" s="461" t="s">
        <v>2732</v>
      </c>
      <c r="C503" s="500" t="s">
        <v>2733</v>
      </c>
      <c r="D503" s="441" t="str">
        <f t="shared" si="12"/>
        <v>RUS Russische Föderation</v>
      </c>
      <c r="E503" s="439" t="s">
        <v>2734</v>
      </c>
      <c r="F503" s="442" t="s">
        <v>2735</v>
      </c>
      <c r="G503" s="439" t="s">
        <v>2736</v>
      </c>
      <c r="H503" s="439" t="s">
        <v>2737</v>
      </c>
      <c r="I503" s="439" t="s">
        <v>2738</v>
      </c>
      <c r="J503" s="502" t="s">
        <v>577</v>
      </c>
      <c r="K503" s="443" t="str">
        <f t="shared" si="13"/>
        <v/>
      </c>
    </row>
    <row r="504" spans="1:11" ht="15.75" customHeight="1">
      <c r="A504" s="500" t="s">
        <v>579</v>
      </c>
      <c r="B504" s="461" t="s">
        <v>2739</v>
      </c>
      <c r="C504" s="500" t="s">
        <v>2740</v>
      </c>
      <c r="D504" s="441" t="str">
        <f t="shared" si="12"/>
        <v>RWA Ruanda</v>
      </c>
      <c r="E504" s="439" t="s">
        <v>2741</v>
      </c>
      <c r="F504" s="442" t="s">
        <v>2742</v>
      </c>
      <c r="G504" s="439" t="s">
        <v>2743</v>
      </c>
      <c r="H504" s="439" t="s">
        <v>2741</v>
      </c>
      <c r="I504" s="439" t="s">
        <v>578</v>
      </c>
      <c r="J504" s="502" t="s">
        <v>579</v>
      </c>
      <c r="K504" s="443" t="str">
        <f t="shared" si="13"/>
        <v/>
      </c>
    </row>
    <row r="505" spans="1:11" ht="15.75" customHeight="1">
      <c r="A505" s="500" t="s">
        <v>581</v>
      </c>
      <c r="B505" s="461" t="s">
        <v>2744</v>
      </c>
      <c r="C505" s="500" t="s">
        <v>2745</v>
      </c>
      <c r="D505" s="441" t="str">
        <f t="shared" si="12"/>
        <v>SAU Saudi-Arabien</v>
      </c>
      <c r="E505" s="439" t="s">
        <v>2746</v>
      </c>
      <c r="F505" s="442" t="s">
        <v>2747</v>
      </c>
      <c r="G505" s="439" t="s">
        <v>2748</v>
      </c>
      <c r="H505" s="439" t="s">
        <v>2749</v>
      </c>
      <c r="I505" s="439" t="s">
        <v>2750</v>
      </c>
      <c r="J505" s="502" t="s">
        <v>581</v>
      </c>
      <c r="K505" s="443" t="str">
        <f t="shared" si="13"/>
        <v/>
      </c>
    </row>
    <row r="506" spans="1:11" ht="15.75" customHeight="1">
      <c r="A506" s="500" t="s">
        <v>583</v>
      </c>
      <c r="B506" s="461" t="s">
        <v>2751</v>
      </c>
      <c r="C506" s="500" t="s">
        <v>2752</v>
      </c>
      <c r="D506" s="441" t="str">
        <f t="shared" si="12"/>
        <v>SDN Sudan</v>
      </c>
      <c r="E506" s="439" t="s">
        <v>582</v>
      </c>
      <c r="F506" s="442" t="s">
        <v>2753</v>
      </c>
      <c r="G506" s="439" t="s">
        <v>2753</v>
      </c>
      <c r="H506" s="439" t="s">
        <v>2754</v>
      </c>
      <c r="I506" s="439" t="s">
        <v>2755</v>
      </c>
      <c r="J506" s="502" t="s">
        <v>583</v>
      </c>
      <c r="K506" s="443" t="str">
        <f t="shared" si="13"/>
        <v/>
      </c>
    </row>
    <row r="507" spans="1:11" ht="15.75" customHeight="1">
      <c r="A507" s="500" t="s">
        <v>585</v>
      </c>
      <c r="B507" s="461" t="s">
        <v>2756</v>
      </c>
      <c r="C507" s="500" t="s">
        <v>2757</v>
      </c>
      <c r="D507" s="441" t="str">
        <f t="shared" si="12"/>
        <v>SEN Senegal</v>
      </c>
      <c r="E507" s="439" t="s">
        <v>584</v>
      </c>
      <c r="F507" s="442" t="s">
        <v>2758</v>
      </c>
      <c r="G507" s="439" t="s">
        <v>2758</v>
      </c>
      <c r="H507" s="439" t="s">
        <v>584</v>
      </c>
      <c r="I507" s="439" t="s">
        <v>2759</v>
      </c>
      <c r="J507" s="502" t="s">
        <v>585</v>
      </c>
      <c r="K507" s="443" t="str">
        <f t="shared" si="13"/>
        <v/>
      </c>
    </row>
    <row r="508" spans="1:11" ht="15.75" customHeight="1">
      <c r="A508" s="500" t="s">
        <v>587</v>
      </c>
      <c r="B508" s="461" t="s">
        <v>2760</v>
      </c>
      <c r="C508" s="500" t="s">
        <v>2761</v>
      </c>
      <c r="D508" s="441" t="str">
        <f t="shared" si="12"/>
        <v>SGP Singapur</v>
      </c>
      <c r="E508" s="439" t="s">
        <v>2762</v>
      </c>
      <c r="F508" s="442" t="s">
        <v>2763</v>
      </c>
      <c r="G508" s="439" t="s">
        <v>2763</v>
      </c>
      <c r="H508" s="439" t="s">
        <v>2762</v>
      </c>
      <c r="I508" s="439" t="s">
        <v>2764</v>
      </c>
      <c r="J508" s="502" t="s">
        <v>587</v>
      </c>
      <c r="K508" s="443" t="str">
        <f t="shared" si="13"/>
        <v/>
      </c>
    </row>
    <row r="509" spans="1:11" ht="15.75" customHeight="1">
      <c r="A509" s="500" t="s">
        <v>589</v>
      </c>
      <c r="B509" s="461" t="s">
        <v>2765</v>
      </c>
      <c r="C509" s="500" t="s">
        <v>2766</v>
      </c>
      <c r="D509" s="441" t="str">
        <f t="shared" si="12"/>
        <v>SLB Salomonen</v>
      </c>
      <c r="E509" s="439" t="s">
        <v>2767</v>
      </c>
      <c r="F509" s="442" t="s">
        <v>2768</v>
      </c>
      <c r="G509" s="439" t="s">
        <v>2769</v>
      </c>
      <c r="H509" s="439" t="s">
        <v>2770</v>
      </c>
      <c r="I509" s="439" t="s">
        <v>2771</v>
      </c>
      <c r="J509" s="502" t="s">
        <v>589</v>
      </c>
      <c r="K509" s="443" t="str">
        <f t="shared" si="13"/>
        <v/>
      </c>
    </row>
    <row r="510" spans="1:11" ht="15.75" customHeight="1">
      <c r="A510" s="500" t="s">
        <v>591</v>
      </c>
      <c r="B510" s="461" t="s">
        <v>2772</v>
      </c>
      <c r="C510" s="500" t="s">
        <v>2773</v>
      </c>
      <c r="D510" s="441" t="str">
        <f t="shared" si="12"/>
        <v>SLE Sierra Leone</v>
      </c>
      <c r="E510" s="439" t="s">
        <v>590</v>
      </c>
      <c r="F510" s="442" t="s">
        <v>2774</v>
      </c>
      <c r="G510" s="439" t="s">
        <v>2774</v>
      </c>
      <c r="H510" s="439" t="s">
        <v>2775</v>
      </c>
      <c r="I510" s="439" t="s">
        <v>590</v>
      </c>
      <c r="J510" s="502" t="s">
        <v>591</v>
      </c>
      <c r="K510" s="443" t="str">
        <f t="shared" si="13"/>
        <v/>
      </c>
    </row>
    <row r="511" spans="1:11" ht="15.75" customHeight="1">
      <c r="A511" s="500" t="s">
        <v>593</v>
      </c>
      <c r="B511" s="461" t="s">
        <v>2776</v>
      </c>
      <c r="C511" s="500" t="s">
        <v>2777</v>
      </c>
      <c r="D511" s="441" t="str">
        <f t="shared" si="12"/>
        <v>SLV El Salvador</v>
      </c>
      <c r="E511" s="439" t="s">
        <v>592</v>
      </c>
      <c r="F511" s="442" t="s">
        <v>2778</v>
      </c>
      <c r="G511" s="439" t="s">
        <v>2778</v>
      </c>
      <c r="H511" s="439" t="s">
        <v>592</v>
      </c>
      <c r="I511" s="439" t="s">
        <v>2779</v>
      </c>
      <c r="J511" s="502" t="s">
        <v>593</v>
      </c>
      <c r="K511" s="443" t="str">
        <f t="shared" si="13"/>
        <v/>
      </c>
    </row>
    <row r="512" spans="1:11" ht="15.75" customHeight="1">
      <c r="A512" s="500" t="s">
        <v>595</v>
      </c>
      <c r="B512" s="461" t="s">
        <v>2780</v>
      </c>
      <c r="C512" s="500" t="s">
        <v>2781</v>
      </c>
      <c r="D512" s="441" t="str">
        <f t="shared" si="12"/>
        <v>SMR San Marino</v>
      </c>
      <c r="E512" s="439" t="s">
        <v>594</v>
      </c>
      <c r="F512" s="442" t="s">
        <v>2782</v>
      </c>
      <c r="G512" s="439" t="s">
        <v>2782</v>
      </c>
      <c r="H512" s="439" t="s">
        <v>594</v>
      </c>
      <c r="I512" s="439" t="s">
        <v>2783</v>
      </c>
      <c r="J512" s="502" t="s">
        <v>595</v>
      </c>
      <c r="K512" s="443" t="str">
        <f t="shared" si="13"/>
        <v/>
      </c>
    </row>
    <row r="513" spans="1:11" ht="15.75" customHeight="1">
      <c r="A513" s="500" t="s">
        <v>597</v>
      </c>
      <c r="B513" s="461" t="s">
        <v>2784</v>
      </c>
      <c r="C513" s="500" t="s">
        <v>2785</v>
      </c>
      <c r="D513" s="441" t="str">
        <f t="shared" si="12"/>
        <v>SOM Somalia</v>
      </c>
      <c r="E513" s="439" t="s">
        <v>596</v>
      </c>
      <c r="F513" s="442" t="s">
        <v>2786</v>
      </c>
      <c r="G513" s="439" t="s">
        <v>2786</v>
      </c>
      <c r="H513" s="439" t="s">
        <v>596</v>
      </c>
      <c r="I513" s="439" t="s">
        <v>2787</v>
      </c>
      <c r="J513" s="502" t="s">
        <v>597</v>
      </c>
      <c r="K513" s="443" t="str">
        <f t="shared" si="13"/>
        <v/>
      </c>
    </row>
    <row r="514" spans="1:11" ht="15.75" customHeight="1">
      <c r="A514" s="500" t="s">
        <v>599</v>
      </c>
      <c r="B514" s="461" t="s">
        <v>2788</v>
      </c>
      <c r="C514" s="500" t="s">
        <v>2789</v>
      </c>
      <c r="D514" s="441" t="str">
        <f t="shared" si="12"/>
        <v>SRB Serbien</v>
      </c>
      <c r="E514" s="439" t="s">
        <v>2790</v>
      </c>
      <c r="F514" s="442" t="s">
        <v>2791</v>
      </c>
      <c r="G514" s="439" t="s">
        <v>2791</v>
      </c>
      <c r="H514" s="439" t="s">
        <v>598</v>
      </c>
      <c r="I514" s="439" t="s">
        <v>2792</v>
      </c>
      <c r="J514" s="502" t="s">
        <v>599</v>
      </c>
      <c r="K514" s="443" t="str">
        <f t="shared" si="13"/>
        <v/>
      </c>
    </row>
    <row r="515" spans="1:11" ht="15.75" customHeight="1">
      <c r="A515" s="500" t="s">
        <v>601</v>
      </c>
      <c r="B515" s="461"/>
      <c r="C515" s="500" t="s">
        <v>2793</v>
      </c>
      <c r="D515" s="441" t="str">
        <f t="shared" si="12"/>
        <v>SSD Südsudan</v>
      </c>
      <c r="E515" s="439" t="s">
        <v>2794</v>
      </c>
      <c r="F515" s="442" t="s">
        <v>2795</v>
      </c>
      <c r="G515" s="439" t="s">
        <v>2796</v>
      </c>
      <c r="H515" s="439" t="s">
        <v>2797</v>
      </c>
      <c r="I515" s="439" t="s">
        <v>2798</v>
      </c>
      <c r="J515" s="502" t="s">
        <v>601</v>
      </c>
      <c r="K515" s="443" t="str">
        <f t="shared" si="13"/>
        <v/>
      </c>
    </row>
    <row r="516" spans="1:11" ht="15.75" customHeight="1">
      <c r="A516" s="500" t="s">
        <v>603</v>
      </c>
      <c r="B516" s="461" t="s">
        <v>2799</v>
      </c>
      <c r="C516" s="500" t="s">
        <v>2800</v>
      </c>
      <c r="D516" s="441" t="str">
        <f t="shared" si="12"/>
        <v>STP São Tomé und Príncipe</v>
      </c>
      <c r="E516" s="439" t="s">
        <v>2801</v>
      </c>
      <c r="F516" s="442" t="s">
        <v>2802</v>
      </c>
      <c r="G516" s="439" t="s">
        <v>2803</v>
      </c>
      <c r="H516" s="439" t="s">
        <v>2804</v>
      </c>
      <c r="I516" s="439" t="s">
        <v>2805</v>
      </c>
      <c r="J516" s="502" t="s">
        <v>603</v>
      </c>
      <c r="K516" s="443" t="str">
        <f t="shared" si="13"/>
        <v/>
      </c>
    </row>
    <row r="517" spans="1:11" ht="15.75" customHeight="1">
      <c r="A517" s="500" t="s">
        <v>605</v>
      </c>
      <c r="B517" s="461" t="s">
        <v>2806</v>
      </c>
      <c r="C517" s="500" t="s">
        <v>2807</v>
      </c>
      <c r="D517" s="441" t="str">
        <f t="shared" si="12"/>
        <v>SUR Suriname</v>
      </c>
      <c r="E517" s="439" t="s">
        <v>604</v>
      </c>
      <c r="F517" s="442" t="s">
        <v>2808</v>
      </c>
      <c r="G517" s="439" t="s">
        <v>2808</v>
      </c>
      <c r="H517" s="439" t="s">
        <v>2809</v>
      </c>
      <c r="I517" s="439" t="s">
        <v>2809</v>
      </c>
      <c r="J517" s="502" t="s">
        <v>605</v>
      </c>
      <c r="K517" s="443" t="str">
        <f t="shared" si="13"/>
        <v/>
      </c>
    </row>
    <row r="518" spans="1:11" ht="15.75" customHeight="1">
      <c r="A518" s="500" t="s">
        <v>607</v>
      </c>
      <c r="B518" s="461" t="s">
        <v>2810</v>
      </c>
      <c r="C518" s="500" t="s">
        <v>2811</v>
      </c>
      <c r="D518" s="441" t="str">
        <f t="shared" si="12"/>
        <v>SVK Slowakei</v>
      </c>
      <c r="E518" s="439" t="s">
        <v>2812</v>
      </c>
      <c r="F518" s="442" t="s">
        <v>2813</v>
      </c>
      <c r="G518" s="439" t="s">
        <v>2814</v>
      </c>
      <c r="H518" s="439" t="s">
        <v>2815</v>
      </c>
      <c r="I518" s="439" t="s">
        <v>2816</v>
      </c>
      <c r="J518" s="502" t="s">
        <v>607</v>
      </c>
      <c r="K518" s="443" t="str">
        <f t="shared" si="13"/>
        <v/>
      </c>
    </row>
    <row r="519" spans="1:11" ht="15.75" customHeight="1">
      <c r="A519" s="500" t="s">
        <v>609</v>
      </c>
      <c r="B519" s="461" t="s">
        <v>2817</v>
      </c>
      <c r="C519" s="500" t="s">
        <v>2818</v>
      </c>
      <c r="D519" s="441" t="str">
        <f t="shared" si="12"/>
        <v>SVN Slowenien</v>
      </c>
      <c r="E519" s="439" t="s">
        <v>2819</v>
      </c>
      <c r="F519" s="442" t="s">
        <v>2820</v>
      </c>
      <c r="G519" s="439" t="s">
        <v>2820</v>
      </c>
      <c r="H519" s="439" t="s">
        <v>2821</v>
      </c>
      <c r="I519" s="439" t="s">
        <v>2822</v>
      </c>
      <c r="J519" s="502" t="s">
        <v>609</v>
      </c>
      <c r="K519" s="443" t="str">
        <f t="shared" si="13"/>
        <v/>
      </c>
    </row>
    <row r="520" spans="1:11" ht="15.75" customHeight="1">
      <c r="A520" s="500" t="s">
        <v>611</v>
      </c>
      <c r="B520" s="461" t="s">
        <v>2823</v>
      </c>
      <c r="C520" s="500" t="s">
        <v>2824</v>
      </c>
      <c r="D520" s="441" t="str">
        <f t="shared" si="12"/>
        <v>SWE Schweden</v>
      </c>
      <c r="E520" s="439" t="s">
        <v>2825</v>
      </c>
      <c r="F520" s="442" t="s">
        <v>2826</v>
      </c>
      <c r="G520" s="439" t="s">
        <v>2827</v>
      </c>
      <c r="H520" s="439" t="s">
        <v>2828</v>
      </c>
      <c r="I520" s="439" t="s">
        <v>2829</v>
      </c>
      <c r="J520" s="502" t="s">
        <v>611</v>
      </c>
      <c r="K520" s="443" t="str">
        <f t="shared" si="13"/>
        <v/>
      </c>
    </row>
    <row r="521" spans="1:11" ht="15.75" customHeight="1">
      <c r="A521" s="500" t="s">
        <v>613</v>
      </c>
      <c r="B521" s="461" t="s">
        <v>2830</v>
      </c>
      <c r="C521" s="500" t="s">
        <v>2831</v>
      </c>
      <c r="D521" s="441" t="str">
        <f t="shared" si="12"/>
        <v>SWZ Swasiland</v>
      </c>
      <c r="E521" s="439" t="s">
        <v>2832</v>
      </c>
      <c r="F521" s="442" t="s">
        <v>2833</v>
      </c>
      <c r="G521" s="439" t="s">
        <v>2833</v>
      </c>
      <c r="H521" s="439" t="s">
        <v>2834</v>
      </c>
      <c r="I521" s="439" t="s">
        <v>612</v>
      </c>
      <c r="J521" s="502" t="s">
        <v>613</v>
      </c>
      <c r="K521" s="443" t="str">
        <f t="shared" si="13"/>
        <v/>
      </c>
    </row>
    <row r="522" spans="1:11" ht="15.75" customHeight="1">
      <c r="A522" s="500" t="s">
        <v>615</v>
      </c>
      <c r="B522" s="461" t="s">
        <v>2835</v>
      </c>
      <c r="C522" s="500" t="s">
        <v>2836</v>
      </c>
      <c r="D522" s="441" t="str">
        <f t="shared" si="12"/>
        <v>SXM Sint Maarten (niederl. Teil)</v>
      </c>
      <c r="E522" s="439" t="s">
        <v>2837</v>
      </c>
      <c r="F522" s="442" t="s">
        <v>2838</v>
      </c>
      <c r="G522" s="439" t="s">
        <v>2839</v>
      </c>
      <c r="H522" s="439" t="s">
        <v>2840</v>
      </c>
      <c r="I522" s="439" t="s">
        <v>2490</v>
      </c>
      <c r="J522" s="502" t="s">
        <v>615</v>
      </c>
      <c r="K522" s="443" t="str">
        <f t="shared" si="13"/>
        <v/>
      </c>
    </row>
    <row r="523" spans="1:11" ht="15.75" customHeight="1">
      <c r="A523" s="500" t="s">
        <v>617</v>
      </c>
      <c r="B523" s="461" t="s">
        <v>2841</v>
      </c>
      <c r="C523" s="500" t="s">
        <v>2842</v>
      </c>
      <c r="D523" s="441" t="str">
        <f t="shared" si="12"/>
        <v>SYC Seychellen</v>
      </c>
      <c r="E523" s="439" t="s">
        <v>2843</v>
      </c>
      <c r="F523" s="442" t="s">
        <v>2844</v>
      </c>
      <c r="G523" s="439" t="s">
        <v>2844</v>
      </c>
      <c r="H523" s="439" t="s">
        <v>616</v>
      </c>
      <c r="I523" s="439" t="s">
        <v>616</v>
      </c>
      <c r="J523" s="502" t="s">
        <v>617</v>
      </c>
      <c r="K523" s="443" t="str">
        <f t="shared" si="13"/>
        <v/>
      </c>
    </row>
    <row r="524" spans="1:11" ht="15.75" customHeight="1">
      <c r="A524" s="500" t="s">
        <v>619</v>
      </c>
      <c r="B524" s="461" t="s">
        <v>2845</v>
      </c>
      <c r="C524" s="500" t="s">
        <v>2846</v>
      </c>
      <c r="D524" s="441" t="str">
        <f t="shared" si="12"/>
        <v>SYR Syrien, Arabische Republik</v>
      </c>
      <c r="E524" s="439" t="s">
        <v>2847</v>
      </c>
      <c r="F524" s="442" t="s">
        <v>2848</v>
      </c>
      <c r="G524" s="439" t="s">
        <v>2849</v>
      </c>
      <c r="H524" s="439" t="s">
        <v>2850</v>
      </c>
      <c r="I524" s="439" t="s">
        <v>2851</v>
      </c>
      <c r="J524" s="502" t="s">
        <v>619</v>
      </c>
      <c r="K524" s="443" t="str">
        <f t="shared" si="13"/>
        <v/>
      </c>
    </row>
    <row r="525" spans="1:11" ht="15.75" customHeight="1">
      <c r="A525" s="500" t="s">
        <v>621</v>
      </c>
      <c r="B525" s="461" t="s">
        <v>2852</v>
      </c>
      <c r="C525" s="500" t="s">
        <v>2853</v>
      </c>
      <c r="D525" s="441" t="str">
        <f t="shared" si="12"/>
        <v>TCA Turks- und Caicosinseln</v>
      </c>
      <c r="E525" s="439" t="s">
        <v>2854</v>
      </c>
      <c r="F525" s="442" t="s">
        <v>2855</v>
      </c>
      <c r="G525" s="439" t="s">
        <v>2856</v>
      </c>
      <c r="H525" s="439" t="s">
        <v>2857</v>
      </c>
      <c r="I525" s="439" t="s">
        <v>2858</v>
      </c>
      <c r="J525" s="502" t="s">
        <v>621</v>
      </c>
      <c r="K525" s="443" t="str">
        <f t="shared" si="13"/>
        <v/>
      </c>
    </row>
    <row r="526" spans="1:11" ht="15.75" customHeight="1">
      <c r="A526" s="500" t="s">
        <v>623</v>
      </c>
      <c r="B526" s="461" t="s">
        <v>2859</v>
      </c>
      <c r="C526" s="500" t="s">
        <v>2860</v>
      </c>
      <c r="D526" s="441" t="str">
        <f t="shared" si="12"/>
        <v>TCD Tschad</v>
      </c>
      <c r="E526" s="439" t="s">
        <v>2861</v>
      </c>
      <c r="F526" s="442" t="s">
        <v>2862</v>
      </c>
      <c r="G526" s="439" t="s">
        <v>2863</v>
      </c>
      <c r="H526" s="439" t="s">
        <v>622</v>
      </c>
      <c r="I526" s="439" t="s">
        <v>2864</v>
      </c>
      <c r="J526" s="502" t="s">
        <v>623</v>
      </c>
      <c r="K526" s="443" t="str">
        <f t="shared" si="13"/>
        <v/>
      </c>
    </row>
    <row r="527" spans="1:11" ht="15.75" customHeight="1">
      <c r="A527" s="500" t="s">
        <v>625</v>
      </c>
      <c r="B527" s="461" t="s">
        <v>2865</v>
      </c>
      <c r="C527" s="500" t="s">
        <v>2866</v>
      </c>
      <c r="D527" s="441" t="str">
        <f t="shared" si="12"/>
        <v>TGO Togo</v>
      </c>
      <c r="E527" s="439" t="s">
        <v>624</v>
      </c>
      <c r="F527" s="442" t="s">
        <v>2867</v>
      </c>
      <c r="G527" s="439" t="s">
        <v>2867</v>
      </c>
      <c r="H527" s="439" t="s">
        <v>624</v>
      </c>
      <c r="I527" s="439" t="s">
        <v>624</v>
      </c>
      <c r="J527" s="502" t="s">
        <v>625</v>
      </c>
      <c r="K527" s="443" t="str">
        <f t="shared" si="13"/>
        <v/>
      </c>
    </row>
    <row r="528" spans="1:11" ht="15.75" customHeight="1">
      <c r="A528" s="500" t="s">
        <v>627</v>
      </c>
      <c r="B528" s="461" t="s">
        <v>2868</v>
      </c>
      <c r="C528" s="500" t="s">
        <v>2869</v>
      </c>
      <c r="D528" s="441" t="str">
        <f t="shared" si="12"/>
        <v>THA Thailand</v>
      </c>
      <c r="E528" s="439" t="s">
        <v>626</v>
      </c>
      <c r="F528" s="442" t="s">
        <v>2870</v>
      </c>
      <c r="G528" s="439" t="s">
        <v>2871</v>
      </c>
      <c r="H528" s="439" t="s">
        <v>2872</v>
      </c>
      <c r="I528" s="439" t="s">
        <v>2873</v>
      </c>
      <c r="J528" s="502" t="s">
        <v>627</v>
      </c>
      <c r="K528" s="443" t="str">
        <f t="shared" si="13"/>
        <v/>
      </c>
    </row>
    <row r="529" spans="1:11" ht="15.75" customHeight="1">
      <c r="A529" s="500" t="s">
        <v>629</v>
      </c>
      <c r="B529" s="461" t="s">
        <v>2874</v>
      </c>
      <c r="C529" s="500" t="s">
        <v>2875</v>
      </c>
      <c r="D529" s="441" t="str">
        <f t="shared" si="12"/>
        <v>TJK Tadschikistan</v>
      </c>
      <c r="E529" s="439" t="s">
        <v>2876</v>
      </c>
      <c r="F529" s="442" t="s">
        <v>2877</v>
      </c>
      <c r="G529" s="439" t="s">
        <v>2878</v>
      </c>
      <c r="H529" s="439" t="s">
        <v>2879</v>
      </c>
      <c r="I529" s="439" t="s">
        <v>628</v>
      </c>
      <c r="J529" s="502" t="s">
        <v>629</v>
      </c>
      <c r="K529" s="443" t="str">
        <f t="shared" si="13"/>
        <v/>
      </c>
    </row>
    <row r="530" spans="1:11" ht="15.75" customHeight="1">
      <c r="A530" s="500" t="s">
        <v>631</v>
      </c>
      <c r="B530" s="461" t="s">
        <v>2880</v>
      </c>
      <c r="C530" s="500" t="s">
        <v>2881</v>
      </c>
      <c r="D530" s="441" t="str">
        <f t="shared" si="12"/>
        <v>TKM Turkmenistan</v>
      </c>
      <c r="E530" s="439" t="s">
        <v>630</v>
      </c>
      <c r="F530" s="442" t="s">
        <v>2882</v>
      </c>
      <c r="G530" s="439" t="s">
        <v>2882</v>
      </c>
      <c r="H530" s="439" t="s">
        <v>2883</v>
      </c>
      <c r="I530" s="439" t="s">
        <v>2884</v>
      </c>
      <c r="J530" s="502" t="s">
        <v>631</v>
      </c>
      <c r="K530" s="443" t="str">
        <f t="shared" si="13"/>
        <v/>
      </c>
    </row>
    <row r="531" spans="1:11" ht="15.75" customHeight="1">
      <c r="A531" s="500" t="s">
        <v>633</v>
      </c>
      <c r="B531" s="461" t="s">
        <v>2885</v>
      </c>
      <c r="C531" s="500" t="s">
        <v>2886</v>
      </c>
      <c r="D531" s="441" t="str">
        <f t="shared" ref="D531:D554" si="14">A531&amp;" "&amp;HLOOKUP($C$1,$E$1:$V$4910,ROW(D531))</f>
        <v>TLS Osttimor (Timor-Leste)</v>
      </c>
      <c r="E531" s="439" t="s">
        <v>2887</v>
      </c>
      <c r="F531" s="442" t="s">
        <v>2888</v>
      </c>
      <c r="G531" s="439" t="s">
        <v>2889</v>
      </c>
      <c r="H531" s="439" t="s">
        <v>2890</v>
      </c>
      <c r="I531" s="439" t="s">
        <v>2891</v>
      </c>
      <c r="J531" s="502" t="s">
        <v>633</v>
      </c>
      <c r="K531" s="443" t="str">
        <f t="shared" ref="K531:K594" si="15">IF(J531=A531,"","nix")</f>
        <v/>
      </c>
    </row>
    <row r="532" spans="1:11" ht="15.75" customHeight="1">
      <c r="A532" s="500" t="s">
        <v>635</v>
      </c>
      <c r="B532" s="461" t="s">
        <v>2892</v>
      </c>
      <c r="C532" s="500" t="s">
        <v>2893</v>
      </c>
      <c r="D532" s="441" t="str">
        <f t="shared" si="14"/>
        <v>TON Tonga</v>
      </c>
      <c r="E532" s="439" t="s">
        <v>634</v>
      </c>
      <c r="F532" s="442" t="s">
        <v>2894</v>
      </c>
      <c r="G532" s="439" t="s">
        <v>2894</v>
      </c>
      <c r="H532" s="439" t="s">
        <v>634</v>
      </c>
      <c r="I532" s="439" t="s">
        <v>634</v>
      </c>
      <c r="J532" s="502" t="s">
        <v>635</v>
      </c>
      <c r="K532" s="443" t="str">
        <f t="shared" si="15"/>
        <v/>
      </c>
    </row>
    <row r="533" spans="1:11" ht="15.75" customHeight="1">
      <c r="A533" s="500" t="s">
        <v>637</v>
      </c>
      <c r="B533" s="461" t="s">
        <v>2895</v>
      </c>
      <c r="C533" s="500" t="s">
        <v>2896</v>
      </c>
      <c r="D533" s="441" t="str">
        <f t="shared" si="14"/>
        <v>TTO Trinidad und Tobago</v>
      </c>
      <c r="E533" s="439" t="s">
        <v>2897</v>
      </c>
      <c r="F533" s="442" t="s">
        <v>2898</v>
      </c>
      <c r="G533" s="439" t="s">
        <v>2899</v>
      </c>
      <c r="H533" s="439" t="s">
        <v>2900</v>
      </c>
      <c r="I533" s="439" t="s">
        <v>2901</v>
      </c>
      <c r="J533" s="502" t="s">
        <v>637</v>
      </c>
      <c r="K533" s="443" t="str">
        <f t="shared" si="15"/>
        <v/>
      </c>
    </row>
    <row r="534" spans="1:11" ht="15.75" customHeight="1">
      <c r="A534" s="500" t="s">
        <v>639</v>
      </c>
      <c r="B534" s="461" t="s">
        <v>2902</v>
      </c>
      <c r="C534" s="500" t="s">
        <v>2903</v>
      </c>
      <c r="D534" s="441" t="str">
        <f t="shared" si="14"/>
        <v>TUN Tunesien</v>
      </c>
      <c r="E534" s="439" t="s">
        <v>2904</v>
      </c>
      <c r="F534" s="442" t="s">
        <v>2905</v>
      </c>
      <c r="G534" s="439" t="s">
        <v>2905</v>
      </c>
      <c r="H534" s="439" t="s">
        <v>2906</v>
      </c>
      <c r="I534" s="439" t="s">
        <v>2907</v>
      </c>
      <c r="J534" s="502" t="s">
        <v>639</v>
      </c>
      <c r="K534" s="443" t="str">
        <f t="shared" si="15"/>
        <v/>
      </c>
    </row>
    <row r="535" spans="1:11" ht="15.75" customHeight="1">
      <c r="A535" s="500" t="s">
        <v>641</v>
      </c>
      <c r="B535" s="461" t="s">
        <v>2908</v>
      </c>
      <c r="C535" s="500" t="s">
        <v>2909</v>
      </c>
      <c r="D535" s="441" t="str">
        <f t="shared" si="14"/>
        <v>TUR Türkei</v>
      </c>
      <c r="E535" s="439" t="s">
        <v>2910</v>
      </c>
      <c r="F535" s="442" t="s">
        <v>2911</v>
      </c>
      <c r="G535" s="439" t="s">
        <v>2912</v>
      </c>
      <c r="H535" s="439" t="s">
        <v>2913</v>
      </c>
      <c r="I535" s="439" t="s">
        <v>2914</v>
      </c>
      <c r="J535" s="502" t="s">
        <v>641</v>
      </c>
      <c r="K535" s="443" t="str">
        <f t="shared" si="15"/>
        <v/>
      </c>
    </row>
    <row r="536" spans="1:11" ht="15.75" customHeight="1">
      <c r="A536" s="500" t="s">
        <v>643</v>
      </c>
      <c r="B536" s="461" t="s">
        <v>2915</v>
      </c>
      <c r="C536" s="500" t="s">
        <v>2916</v>
      </c>
      <c r="D536" s="441" t="str">
        <f t="shared" si="14"/>
        <v>TUV Tuvalu</v>
      </c>
      <c r="E536" s="439" t="s">
        <v>642</v>
      </c>
      <c r="F536" s="442" t="s">
        <v>2917</v>
      </c>
      <c r="G536" s="439" t="s">
        <v>2917</v>
      </c>
      <c r="H536" s="439" t="s">
        <v>642</v>
      </c>
      <c r="I536" s="439" t="s">
        <v>642</v>
      </c>
      <c r="J536" s="502" t="s">
        <v>643</v>
      </c>
      <c r="K536" s="443" t="str">
        <f t="shared" si="15"/>
        <v/>
      </c>
    </row>
    <row r="537" spans="1:11" ht="15.75" customHeight="1">
      <c r="A537" s="500" t="s">
        <v>645</v>
      </c>
      <c r="B537" s="461" t="s">
        <v>2918</v>
      </c>
      <c r="C537" s="500" t="s">
        <v>2919</v>
      </c>
      <c r="D537" s="441" t="str">
        <f t="shared" si="14"/>
        <v>TZA Tansania, Vereinigte Republik</v>
      </c>
      <c r="E537" s="439" t="s">
        <v>2920</v>
      </c>
      <c r="F537" s="442" t="s">
        <v>2921</v>
      </c>
      <c r="G537" s="439" t="s">
        <v>2922</v>
      </c>
      <c r="H537" s="439" t="s">
        <v>644</v>
      </c>
      <c r="I537" s="439" t="s">
        <v>2923</v>
      </c>
      <c r="J537" s="502" t="s">
        <v>645</v>
      </c>
      <c r="K537" s="443" t="str">
        <f t="shared" si="15"/>
        <v/>
      </c>
    </row>
    <row r="538" spans="1:11" ht="15.75" customHeight="1">
      <c r="A538" s="500" t="s">
        <v>647</v>
      </c>
      <c r="B538" s="461" t="s">
        <v>2924</v>
      </c>
      <c r="C538" s="500" t="s">
        <v>2925</v>
      </c>
      <c r="D538" s="441" t="str">
        <f t="shared" si="14"/>
        <v>UGA Uganda</v>
      </c>
      <c r="E538" s="439" t="s">
        <v>646</v>
      </c>
      <c r="F538" s="442" t="s">
        <v>2926</v>
      </c>
      <c r="G538" s="439" t="s">
        <v>2926</v>
      </c>
      <c r="H538" s="439" t="s">
        <v>646</v>
      </c>
      <c r="I538" s="439" t="s">
        <v>2927</v>
      </c>
      <c r="J538" s="502" t="s">
        <v>647</v>
      </c>
      <c r="K538" s="443" t="str">
        <f t="shared" si="15"/>
        <v/>
      </c>
    </row>
    <row r="539" spans="1:11" ht="15.75" customHeight="1">
      <c r="A539" s="500" t="s">
        <v>649</v>
      </c>
      <c r="B539" s="461" t="s">
        <v>2928</v>
      </c>
      <c r="C539" s="500" t="s">
        <v>2929</v>
      </c>
      <c r="D539" s="441" t="str">
        <f t="shared" si="14"/>
        <v>UKR Ukraine</v>
      </c>
      <c r="E539" s="439" t="s">
        <v>648</v>
      </c>
      <c r="F539" s="442" t="s">
        <v>2930</v>
      </c>
      <c r="G539" s="439" t="s">
        <v>2931</v>
      </c>
      <c r="H539" s="439" t="s">
        <v>2932</v>
      </c>
      <c r="I539" s="439" t="s">
        <v>648</v>
      </c>
      <c r="J539" s="502" t="s">
        <v>649</v>
      </c>
      <c r="K539" s="443" t="str">
        <f t="shared" si="15"/>
        <v/>
      </c>
    </row>
    <row r="540" spans="1:11" ht="15.75" customHeight="1">
      <c r="A540" s="500" t="s">
        <v>651</v>
      </c>
      <c r="B540" s="461" t="s">
        <v>2933</v>
      </c>
      <c r="C540" s="500" t="s">
        <v>2934</v>
      </c>
      <c r="D540" s="441" t="str">
        <f t="shared" si="14"/>
        <v>URY Uruguay</v>
      </c>
      <c r="E540" s="439" t="s">
        <v>650</v>
      </c>
      <c r="F540" s="442" t="s">
        <v>2935</v>
      </c>
      <c r="G540" s="439" t="s">
        <v>2935</v>
      </c>
      <c r="H540" s="439" t="s">
        <v>650</v>
      </c>
      <c r="I540" s="439" t="s">
        <v>650</v>
      </c>
      <c r="J540" s="502" t="s">
        <v>651</v>
      </c>
      <c r="K540" s="443" t="str">
        <f t="shared" si="15"/>
        <v/>
      </c>
    </row>
    <row r="541" spans="1:11" ht="15.75" customHeight="1">
      <c r="A541" s="500" t="s">
        <v>653</v>
      </c>
      <c r="B541" s="461" t="s">
        <v>2936</v>
      </c>
      <c r="C541" s="500" t="s">
        <v>2937</v>
      </c>
      <c r="D541" s="441" t="str">
        <f t="shared" si="14"/>
        <v>USA Vereinigte Staaten von Amerika</v>
      </c>
      <c r="E541" s="439" t="s">
        <v>2938</v>
      </c>
      <c r="F541" s="442" t="s">
        <v>2939</v>
      </c>
      <c r="G541" s="439" t="s">
        <v>2940</v>
      </c>
      <c r="H541" s="439" t="s">
        <v>2941</v>
      </c>
      <c r="I541" s="439" t="s">
        <v>2942</v>
      </c>
      <c r="J541" s="502" t="s">
        <v>653</v>
      </c>
      <c r="K541" s="443" t="str">
        <f t="shared" si="15"/>
        <v/>
      </c>
    </row>
    <row r="542" spans="1:11" ht="15.75" customHeight="1">
      <c r="A542" s="500" t="s">
        <v>655</v>
      </c>
      <c r="B542" s="461" t="s">
        <v>2943</v>
      </c>
      <c r="C542" s="500" t="s">
        <v>2944</v>
      </c>
      <c r="D542" s="441" t="str">
        <f t="shared" si="14"/>
        <v>UZB Usbekistan</v>
      </c>
      <c r="E542" s="439" t="s">
        <v>2945</v>
      </c>
      <c r="F542" s="442" t="s">
        <v>2946</v>
      </c>
      <c r="G542" s="439" t="s">
        <v>2946</v>
      </c>
      <c r="H542" s="439" t="s">
        <v>2947</v>
      </c>
      <c r="I542" s="439" t="s">
        <v>2948</v>
      </c>
      <c r="J542" s="502" t="s">
        <v>655</v>
      </c>
      <c r="K542" s="443" t="str">
        <f t="shared" si="15"/>
        <v/>
      </c>
    </row>
    <row r="543" spans="1:11" ht="15.75" customHeight="1">
      <c r="A543" s="500" t="s">
        <v>657</v>
      </c>
      <c r="B543" s="461" t="s">
        <v>2949</v>
      </c>
      <c r="C543" s="500" t="s">
        <v>2950</v>
      </c>
      <c r="D543" s="441" t="str">
        <f t="shared" si="14"/>
        <v>VCT St. Vincent und die Grenadinen</v>
      </c>
      <c r="E543" s="439" t="s">
        <v>2951</v>
      </c>
      <c r="F543" s="442" t="s">
        <v>2952</v>
      </c>
      <c r="G543" s="439" t="s">
        <v>2953</v>
      </c>
      <c r="H543" s="439" t="s">
        <v>2954</v>
      </c>
      <c r="I543" s="439" t="s">
        <v>2955</v>
      </c>
      <c r="J543" s="502" t="s">
        <v>657</v>
      </c>
      <c r="K543" s="443" t="str">
        <f t="shared" si="15"/>
        <v/>
      </c>
    </row>
    <row r="544" spans="1:11" ht="15.75" customHeight="1">
      <c r="A544" s="500" t="s">
        <v>659</v>
      </c>
      <c r="B544" s="461" t="s">
        <v>2956</v>
      </c>
      <c r="C544" s="500" t="s">
        <v>2957</v>
      </c>
      <c r="D544" s="441" t="str">
        <f t="shared" si="14"/>
        <v>VEN Venezuela</v>
      </c>
      <c r="E544" s="439" t="s">
        <v>2958</v>
      </c>
      <c r="F544" s="442" t="s">
        <v>2959</v>
      </c>
      <c r="G544" s="439" t="s">
        <v>2960</v>
      </c>
      <c r="H544" s="439" t="s">
        <v>2958</v>
      </c>
      <c r="I544" s="439" t="s">
        <v>2961</v>
      </c>
      <c r="J544" s="502" t="s">
        <v>659</v>
      </c>
      <c r="K544" s="443" t="str">
        <f t="shared" si="15"/>
        <v/>
      </c>
    </row>
    <row r="545" spans="1:11" ht="15.75" customHeight="1">
      <c r="A545" s="500" t="s">
        <v>661</v>
      </c>
      <c r="B545" s="461" t="s">
        <v>2962</v>
      </c>
      <c r="C545" s="500" t="s">
        <v>2963</v>
      </c>
      <c r="D545" s="441" t="str">
        <f t="shared" si="14"/>
        <v>VGB Britische Jungferninseln</v>
      </c>
      <c r="E545" s="439" t="s">
        <v>2964</v>
      </c>
      <c r="F545" s="442" t="s">
        <v>2965</v>
      </c>
      <c r="G545" s="439" t="s">
        <v>2966</v>
      </c>
      <c r="H545" s="439" t="s">
        <v>2967</v>
      </c>
      <c r="I545" s="439" t="s">
        <v>2968</v>
      </c>
      <c r="J545" s="502" t="s">
        <v>661</v>
      </c>
      <c r="K545" s="443" t="str">
        <f t="shared" si="15"/>
        <v/>
      </c>
    </row>
    <row r="546" spans="1:11" ht="15.75" customHeight="1">
      <c r="A546" s="500" t="s">
        <v>663</v>
      </c>
      <c r="B546" s="461" t="s">
        <v>2969</v>
      </c>
      <c r="C546" s="500" t="s">
        <v>2970</v>
      </c>
      <c r="D546" s="441" t="str">
        <f t="shared" si="14"/>
        <v>VIR Amerikanische Jungferninseln</v>
      </c>
      <c r="E546" s="439" t="s">
        <v>2971</v>
      </c>
      <c r="F546" s="442" t="s">
        <v>2972</v>
      </c>
      <c r="G546" s="439" t="s">
        <v>2973</v>
      </c>
      <c r="H546" s="439" t="s">
        <v>2974</v>
      </c>
      <c r="I546" s="439" t="s">
        <v>2975</v>
      </c>
      <c r="J546" s="502" t="s">
        <v>663</v>
      </c>
      <c r="K546" s="443" t="str">
        <f t="shared" si="15"/>
        <v/>
      </c>
    </row>
    <row r="547" spans="1:11" ht="15.75" customHeight="1">
      <c r="A547" s="500" t="s">
        <v>665</v>
      </c>
      <c r="B547" s="461" t="s">
        <v>2976</v>
      </c>
      <c r="C547" s="500" t="s">
        <v>2977</v>
      </c>
      <c r="D547" s="441" t="str">
        <f t="shared" si="14"/>
        <v>VNM Vietnam</v>
      </c>
      <c r="E547" s="439" t="s">
        <v>664</v>
      </c>
      <c r="F547" s="442" t="s">
        <v>2978</v>
      </c>
      <c r="G547" s="439" t="s">
        <v>2979</v>
      </c>
      <c r="H547" s="439" t="s">
        <v>664</v>
      </c>
      <c r="I547" s="439" t="s">
        <v>664</v>
      </c>
      <c r="J547" s="502" t="s">
        <v>665</v>
      </c>
      <c r="K547" s="443" t="str">
        <f t="shared" si="15"/>
        <v/>
      </c>
    </row>
    <row r="548" spans="1:11" ht="15.75" customHeight="1">
      <c r="A548" s="500" t="s">
        <v>667</v>
      </c>
      <c r="B548" s="461" t="s">
        <v>2980</v>
      </c>
      <c r="C548" s="500" t="s">
        <v>2981</v>
      </c>
      <c r="D548" s="441" t="str">
        <f t="shared" si="14"/>
        <v>VUT Vanuatu</v>
      </c>
      <c r="E548" s="439" t="s">
        <v>666</v>
      </c>
      <c r="F548" s="442" t="s">
        <v>2982</v>
      </c>
      <c r="G548" s="439" t="s">
        <v>2982</v>
      </c>
      <c r="H548" s="439" t="s">
        <v>666</v>
      </c>
      <c r="I548" s="439" t="s">
        <v>666</v>
      </c>
      <c r="J548" s="502" t="s">
        <v>667</v>
      </c>
      <c r="K548" s="443" t="str">
        <f t="shared" si="15"/>
        <v/>
      </c>
    </row>
    <row r="549" spans="1:11" ht="15.75" customHeight="1">
      <c r="A549" s="500" t="s">
        <v>669</v>
      </c>
      <c r="B549" s="461" t="s">
        <v>2983</v>
      </c>
      <c r="C549" s="500" t="s">
        <v>2984</v>
      </c>
      <c r="D549" s="441" t="str">
        <f t="shared" si="14"/>
        <v>WSM Samoa</v>
      </c>
      <c r="E549" s="439" t="s">
        <v>668</v>
      </c>
      <c r="F549" s="442" t="s">
        <v>2985</v>
      </c>
      <c r="G549" s="439" t="s">
        <v>2985</v>
      </c>
      <c r="H549" s="439" t="s">
        <v>668</v>
      </c>
      <c r="I549" s="439" t="s">
        <v>668</v>
      </c>
      <c r="J549" s="502" t="s">
        <v>669</v>
      </c>
      <c r="K549" s="443" t="str">
        <f t="shared" si="15"/>
        <v/>
      </c>
    </row>
    <row r="550" spans="1:11" ht="15.75" customHeight="1">
      <c r="A550" s="461" t="s">
        <v>671</v>
      </c>
      <c r="B550" s="461"/>
      <c r="C550" s="461" t="s">
        <v>2986</v>
      </c>
      <c r="D550" s="441" t="str">
        <f t="shared" si="14"/>
        <v>XKX Kosovo</v>
      </c>
      <c r="E550" s="439" t="s">
        <v>670</v>
      </c>
      <c r="F550" s="442" t="s">
        <v>670</v>
      </c>
      <c r="G550" s="439" t="s">
        <v>670</v>
      </c>
      <c r="H550" s="439" t="s">
        <v>670</v>
      </c>
      <c r="I550" s="439" t="s">
        <v>670</v>
      </c>
      <c r="J550" s="502" t="s">
        <v>671</v>
      </c>
      <c r="K550" s="443" t="str">
        <f t="shared" si="15"/>
        <v/>
      </c>
    </row>
    <row r="551" spans="1:11" ht="15.75" customHeight="1">
      <c r="A551" s="500" t="s">
        <v>673</v>
      </c>
      <c r="B551" s="461" t="s">
        <v>2987</v>
      </c>
      <c r="C551" s="500" t="s">
        <v>2988</v>
      </c>
      <c r="D551" s="441" t="str">
        <f t="shared" si="14"/>
        <v>YEM Jemen</v>
      </c>
      <c r="E551" s="439" t="s">
        <v>2989</v>
      </c>
      <c r="F551" s="442" t="s">
        <v>2990</v>
      </c>
      <c r="G551" s="439" t="s">
        <v>2990</v>
      </c>
      <c r="H551" s="439" t="s">
        <v>2991</v>
      </c>
      <c r="I551" s="439" t="s">
        <v>2991</v>
      </c>
      <c r="J551" s="502" t="s">
        <v>673</v>
      </c>
      <c r="K551" s="443" t="str">
        <f t="shared" si="15"/>
        <v/>
      </c>
    </row>
    <row r="552" spans="1:11" ht="15.75" customHeight="1">
      <c r="A552" s="500" t="s">
        <v>675</v>
      </c>
      <c r="B552" s="461" t="s">
        <v>2992</v>
      </c>
      <c r="C552" s="500" t="s">
        <v>2993</v>
      </c>
      <c r="D552" s="441" t="str">
        <f t="shared" si="14"/>
        <v>ZAF Südafrika</v>
      </c>
      <c r="E552" s="439" t="s">
        <v>2994</v>
      </c>
      <c r="F552" s="442" t="s">
        <v>2995</v>
      </c>
      <c r="G552" s="439" t="s">
        <v>2996</v>
      </c>
      <c r="H552" s="439" t="s">
        <v>2997</v>
      </c>
      <c r="I552" s="439" t="s">
        <v>2998</v>
      </c>
      <c r="J552" s="502" t="s">
        <v>675</v>
      </c>
      <c r="K552" s="443" t="str">
        <f t="shared" si="15"/>
        <v/>
      </c>
    </row>
    <row r="553" spans="1:11" ht="15.75" customHeight="1">
      <c r="A553" s="500" t="s">
        <v>677</v>
      </c>
      <c r="B553" s="461" t="s">
        <v>2999</v>
      </c>
      <c r="C553" s="500" t="s">
        <v>3000</v>
      </c>
      <c r="D553" s="441" t="str">
        <f t="shared" si="14"/>
        <v>ZMB Sambia</v>
      </c>
      <c r="E553" s="439" t="s">
        <v>3001</v>
      </c>
      <c r="F553" s="442" t="s">
        <v>3002</v>
      </c>
      <c r="G553" s="439" t="s">
        <v>3002</v>
      </c>
      <c r="H553" s="439" t="s">
        <v>676</v>
      </c>
      <c r="I553" s="439" t="s">
        <v>3003</v>
      </c>
      <c r="J553" s="502" t="s">
        <v>677</v>
      </c>
      <c r="K553" s="443" t="str">
        <f t="shared" si="15"/>
        <v/>
      </c>
    </row>
    <row r="554" spans="1:11" ht="15.75" customHeight="1">
      <c r="A554" s="500" t="s">
        <v>679</v>
      </c>
      <c r="B554" s="461" t="s">
        <v>3004</v>
      </c>
      <c r="C554" s="500" t="s">
        <v>3005</v>
      </c>
      <c r="D554" s="441" t="str">
        <f t="shared" si="14"/>
        <v>ZWE Simbabwe</v>
      </c>
      <c r="E554" s="439" t="s">
        <v>3006</v>
      </c>
      <c r="F554" s="442" t="s">
        <v>3007</v>
      </c>
      <c r="G554" s="439" t="s">
        <v>3007</v>
      </c>
      <c r="H554" s="439" t="s">
        <v>3008</v>
      </c>
      <c r="I554" s="439" t="s">
        <v>678</v>
      </c>
      <c r="J554" s="502" t="s">
        <v>679</v>
      </c>
      <c r="K554" s="443" t="str">
        <f t="shared" si="15"/>
        <v/>
      </c>
    </row>
    <row r="555" spans="1:11" ht="14.1" customHeight="1">
      <c r="D555" s="441" t="str">
        <f t="shared" ref="D555:D561" si="16">HLOOKUP($C$1,$E$1:$V$4910,ROW(D555))</f>
        <v>Durchschnitt Afrika</v>
      </c>
      <c r="E555" s="439" t="s">
        <v>3009</v>
      </c>
      <c r="F555" s="442" t="s">
        <v>3010</v>
      </c>
      <c r="G555" s="439" t="s">
        <v>680</v>
      </c>
      <c r="H555" s="439" t="s">
        <v>3011</v>
      </c>
      <c r="J555" s="502" t="s">
        <v>680</v>
      </c>
      <c r="K555" s="443" t="str">
        <f t="shared" si="15"/>
        <v>nix</v>
      </c>
    </row>
    <row r="556" spans="1:11" ht="14.1" customHeight="1">
      <c r="D556" s="441" t="str">
        <f t="shared" si="16"/>
        <v>Durchschnitt Amerika</v>
      </c>
      <c r="E556" s="439" t="s">
        <v>3012</v>
      </c>
      <c r="F556" s="442" t="s">
        <v>3013</v>
      </c>
      <c r="G556" s="439" t="s">
        <v>681</v>
      </c>
      <c r="H556" s="439" t="s">
        <v>3014</v>
      </c>
      <c r="I556" s="439" t="s">
        <v>3338</v>
      </c>
      <c r="J556" s="502" t="s">
        <v>681</v>
      </c>
      <c r="K556" s="443" t="str">
        <f t="shared" si="15"/>
        <v>nix</v>
      </c>
    </row>
    <row r="557" spans="1:11" ht="14.1" customHeight="1">
      <c r="D557" s="441" t="str">
        <f t="shared" si="16"/>
        <v>Durchschnitt Asien</v>
      </c>
      <c r="E557" s="439" t="s">
        <v>3015</v>
      </c>
      <c r="F557" s="442" t="s">
        <v>3016</v>
      </c>
      <c r="G557" s="439" t="s">
        <v>682</v>
      </c>
      <c r="H557" s="439" t="s">
        <v>3017</v>
      </c>
      <c r="I557" s="439" t="s">
        <v>3339</v>
      </c>
      <c r="J557" s="502" t="s">
        <v>682</v>
      </c>
      <c r="K557" s="443" t="str">
        <f t="shared" si="15"/>
        <v>nix</v>
      </c>
    </row>
    <row r="558" spans="1:11" ht="14.1" customHeight="1">
      <c r="D558" s="441" t="str">
        <f t="shared" si="16"/>
        <v>Durchschnitt Europa</v>
      </c>
      <c r="E558" s="439" t="s">
        <v>3018</v>
      </c>
      <c r="F558" s="442" t="s">
        <v>3019</v>
      </c>
      <c r="G558" s="439" t="s">
        <v>683</v>
      </c>
      <c r="H558" s="439" t="s">
        <v>3020</v>
      </c>
      <c r="I558" s="439" t="s">
        <v>3340</v>
      </c>
      <c r="J558" s="502" t="s">
        <v>683</v>
      </c>
      <c r="K558" s="443" t="str">
        <f t="shared" si="15"/>
        <v>nix</v>
      </c>
    </row>
    <row r="559" spans="1:11" ht="14.1" customHeight="1">
      <c r="D559" s="441" t="str">
        <f t="shared" si="16"/>
        <v>Durchschnitt Ozeanien</v>
      </c>
      <c r="E559" s="439" t="s">
        <v>3021</v>
      </c>
      <c r="F559" s="442" t="s">
        <v>3022</v>
      </c>
      <c r="G559" s="439" t="s">
        <v>684</v>
      </c>
      <c r="H559" s="439" t="s">
        <v>3023</v>
      </c>
      <c r="I559" s="439" t="s">
        <v>3341</v>
      </c>
      <c r="J559" s="502" t="s">
        <v>684</v>
      </c>
      <c r="K559" s="443" t="str">
        <f t="shared" si="15"/>
        <v>nix</v>
      </c>
    </row>
    <row r="560" spans="1:11" ht="14.1" customHeight="1">
      <c r="D560" s="441" t="str">
        <f t="shared" si="16"/>
        <v>Durchschnitt Welt</v>
      </c>
      <c r="E560" s="439" t="s">
        <v>3024</v>
      </c>
      <c r="F560" s="442" t="s">
        <v>3025</v>
      </c>
      <c r="H560" s="439" t="s">
        <v>3026</v>
      </c>
      <c r="I560" s="439" t="s">
        <v>3342</v>
      </c>
      <c r="J560" s="504" t="s">
        <v>685</v>
      </c>
      <c r="K560" s="443" t="str">
        <f t="shared" si="15"/>
        <v>nix</v>
      </c>
    </row>
    <row r="561" spans="4:11" ht="14.1" customHeight="1">
      <c r="D561" s="441" t="str">
        <f t="shared" si="16"/>
        <v>Überwiegende Herkunft restlicher Lieferanten</v>
      </c>
      <c r="E561" s="439" t="s">
        <v>1710</v>
      </c>
      <c r="F561" s="442" t="s">
        <v>3027</v>
      </c>
      <c r="H561" s="439" t="s">
        <v>3028</v>
      </c>
      <c r="I561" s="439" t="s">
        <v>3343</v>
      </c>
      <c r="K561" s="443" t="str">
        <f t="shared" si="15"/>
        <v/>
      </c>
    </row>
    <row r="65535" ht="12.75" customHeight="1"/>
    <row r="65536" ht="12.75" customHeight="1"/>
  </sheetData>
  <sheetProtection algorithmName="SHA-512" hashValue="w/woR1HXVJShtZHtR3PB0dpu6A8uwVBpxyFTjFVm6u2Y+IoQ709PceCHkr/mPMTOzsW8GUHnPlqgiR4OXhQilA==" saltValue="4eG1XSyT+diKX+kKYnWCFw=="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B6" sqref="B6"/>
    </sheetView>
  </sheetViews>
  <sheetFormatPr baseColWidth="10" defaultColWidth="10.6640625" defaultRowHeight="12.75" customHeight="1"/>
  <cols>
    <col min="1" max="1" width="2.6640625" style="11" customWidth="1"/>
    <col min="2" max="2" width="29.33203125" style="11" customWidth="1"/>
    <col min="3" max="3" width="54.88671875" style="12" customWidth="1"/>
    <col min="4" max="16384" width="10.6640625" style="11"/>
  </cols>
  <sheetData>
    <row r="1" spans="1:3" ht="12.75" customHeight="1">
      <c r="A1" s="13"/>
      <c r="B1" s="14"/>
      <c r="C1" s="15"/>
    </row>
    <row r="2" spans="1:3" ht="12.75" customHeight="1">
      <c r="A2" s="13"/>
      <c r="B2" s="546" t="str">
        <f>'12.lan'!D91&amp;" - "&amp;'0. Intro'!B3&amp;" "&amp;'0. Intro'!C3</f>
        <v>Gemeinwohl-Bilanz-Rechner - Version 5.05</v>
      </c>
      <c r="C2" s="546"/>
    </row>
    <row r="3" spans="1:3" ht="18" customHeight="1">
      <c r="A3" s="13"/>
      <c r="B3" s="547" t="str">
        <f>'12.lan'!D62</f>
        <v>ALLGEMEINE ANGABEN ZUM UNTERNEHMEN</v>
      </c>
      <c r="C3" s="547"/>
    </row>
    <row r="4" spans="1:3" ht="22.5" customHeight="1">
      <c r="A4" s="13"/>
      <c r="B4" s="17" t="str">
        <f>'12.lan'!D63</f>
        <v>Bitte vollständig ausfüllen!</v>
      </c>
      <c r="C4" s="18"/>
    </row>
    <row r="5" spans="1:3" ht="12.75" customHeight="1">
      <c r="A5" s="13"/>
      <c r="B5" s="14"/>
      <c r="C5" s="15"/>
    </row>
    <row r="6" spans="1:3" ht="19.5" customHeight="1">
      <c r="A6" s="13"/>
      <c r="B6" s="19" t="str">
        <f>'12.lan'!D64</f>
        <v>Name des Unternehmens:</v>
      </c>
      <c r="C6" s="20"/>
    </row>
    <row r="7" spans="1:3" ht="19.5" customHeight="1">
      <c r="A7" s="13"/>
      <c r="B7" s="21" t="str">
        <f>'12.lan'!D65</f>
        <v>Anschrift:</v>
      </c>
      <c r="C7" s="20"/>
    </row>
    <row r="8" spans="1:3" ht="19.5" customHeight="1">
      <c r="A8" s="13"/>
      <c r="B8" s="21" t="str">
        <f>'12.lan'!D66</f>
        <v>Staat:</v>
      </c>
      <c r="C8" s="20"/>
    </row>
    <row r="9" spans="1:3" ht="19.5" customHeight="1">
      <c r="A9" s="13"/>
      <c r="B9" s="21" t="str">
        <f>'12.lan'!D67</f>
        <v>Branche:</v>
      </c>
      <c r="C9" s="20"/>
    </row>
    <row r="10" spans="1:3" ht="19.5" customHeight="1">
      <c r="A10" s="13"/>
      <c r="B10" s="21" t="str">
        <f>'12.lan'!D68</f>
        <v>Website:</v>
      </c>
      <c r="C10" s="429"/>
    </row>
    <row r="11" spans="1:3" ht="9.75" customHeight="1">
      <c r="A11" s="13"/>
      <c r="B11" s="22"/>
      <c r="C11" s="23"/>
    </row>
    <row r="12" spans="1:3" ht="19.5" customHeight="1">
      <c r="A12" s="13"/>
      <c r="B12" s="21" t="str">
        <f>'12.lan'!D83</f>
        <v>Bilanz-Jahr</v>
      </c>
      <c r="C12" s="20"/>
    </row>
    <row r="13" spans="1:3" ht="9.75" customHeight="1">
      <c r="A13" s="13"/>
      <c r="B13" s="24"/>
      <c r="C13" s="25"/>
    </row>
    <row r="14" spans="1:3" ht="19.5" customHeight="1">
      <c r="A14" s="13"/>
      <c r="B14" s="19" t="str">
        <f>'12.lan'!D73</f>
        <v>ErstellerIn:</v>
      </c>
      <c r="C14" s="20"/>
    </row>
    <row r="15" spans="1:3" ht="19.5" customHeight="1">
      <c r="A15" s="13"/>
      <c r="B15" s="21" t="str">
        <f>'12.lan'!D74</f>
        <v>E-Mail-Adresse:</v>
      </c>
      <c r="C15" s="20"/>
    </row>
    <row r="16" spans="1:3" ht="19.5" customHeight="1">
      <c r="A16" s="13"/>
      <c r="B16" s="21" t="str">
        <f>'12.lan'!D75</f>
        <v>Telefonnummer:</v>
      </c>
      <c r="C16" s="20"/>
    </row>
    <row r="17" spans="1:3" ht="9.75" customHeight="1">
      <c r="A17" s="13"/>
      <c r="B17" s="24"/>
      <c r="C17" s="26"/>
    </row>
    <row r="18" spans="1:3" ht="19.5" customHeight="1">
      <c r="A18" s="13"/>
      <c r="B18" s="19" t="str">
        <f>'12.lan'!D76</f>
        <v>BeraterIn:</v>
      </c>
      <c r="C18" s="20"/>
    </row>
    <row r="19" spans="1:3" ht="19.5" customHeight="1">
      <c r="A19" s="13"/>
      <c r="B19" s="21" t="str">
        <f>'12.lan'!D74</f>
        <v>E-Mail-Adresse:</v>
      </c>
      <c r="C19" s="20"/>
    </row>
    <row r="20" spans="1:3" ht="19.5" customHeight="1">
      <c r="A20" s="13"/>
      <c r="B20" s="21" t="str">
        <f>'12.lan'!D75</f>
        <v>Telefonnummer:</v>
      </c>
      <c r="C20" s="20"/>
    </row>
    <row r="21" spans="1:3" ht="9.75" customHeight="1">
      <c r="A21" s="13"/>
      <c r="B21" s="24"/>
      <c r="C21" s="26"/>
    </row>
    <row r="22" spans="1:3" ht="64.5" customHeight="1">
      <c r="A22" s="13"/>
      <c r="B22" s="27" t="str">
        <f>'12.lan'!D79</f>
        <v>Kurzbeschreibung
des Unternehmens:</v>
      </c>
      <c r="C22" s="20"/>
    </row>
    <row r="23" spans="1:3" ht="9.75" customHeight="1">
      <c r="A23" s="13"/>
      <c r="B23" s="28"/>
      <c r="C23" s="29"/>
    </row>
    <row r="24" spans="1:3" ht="64.5" customHeight="1">
      <c r="B24" s="30" t="str">
        <f>'12.lan'!D80</f>
        <v>Sonstige Anmerkungen:</v>
      </c>
      <c r="C24" s="20"/>
    </row>
    <row r="25" spans="1:3" ht="120.75" customHeight="1">
      <c r="A25" s="13"/>
      <c r="B25" s="13"/>
      <c r="C25" s="15"/>
    </row>
  </sheetData>
  <sheetProtection password="F532"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5" zoomScale="75" zoomScaleNormal="75" workbookViewId="0">
      <selection activeCell="C1" sqref="C1"/>
    </sheetView>
  </sheetViews>
  <sheetFormatPr baseColWidth="10" defaultColWidth="10.6640625" defaultRowHeight="12.75" customHeight="1"/>
  <cols>
    <col min="1" max="1" width="2.6640625" style="1" customWidth="1"/>
    <col min="2" max="2" width="58.33203125" style="1" customWidth="1"/>
    <col min="3" max="3" width="41" style="31" customWidth="1"/>
    <col min="4" max="4" width="25" style="1" customWidth="1"/>
    <col min="5" max="5" width="29.33203125" style="1" customWidth="1"/>
    <col min="6" max="6" width="19.33203125" style="1" customWidth="1"/>
    <col min="7" max="12" width="10.6640625" style="1"/>
    <col min="13" max="13" width="0" style="1" hidden="1" customWidth="1"/>
    <col min="14" max="16384" width="10.6640625" style="1"/>
  </cols>
  <sheetData>
    <row r="1" spans="1:13" ht="12.75" customHeight="1">
      <c r="A1" s="2"/>
      <c r="B1" s="32"/>
      <c r="C1" s="33"/>
    </row>
    <row r="2" spans="1:13" ht="12.75" customHeight="1">
      <c r="A2" s="2"/>
      <c r="B2" s="542" t="str">
        <f>'12.lan'!D91&amp;" - "&amp;'0. Intro'!B3&amp;" "&amp;'0. Intro'!C3</f>
        <v>Gemeinwohl-Bilanz-Rechner - Version 5.05</v>
      </c>
      <c r="C2" s="542"/>
      <c r="M2" s="1" t="str">
        <f>'12.lan'!D52</f>
        <v>ja</v>
      </c>
    </row>
    <row r="3" spans="1:13" ht="18" customHeight="1">
      <c r="A3" s="2"/>
      <c r="B3" s="548" t="str">
        <f>'12.lan'!D194</f>
        <v>Fakten zum Unternehmen</v>
      </c>
      <c r="C3" s="548"/>
      <c r="M3" s="1" t="str">
        <f>'12.lan'!D53</f>
        <v>nein</v>
      </c>
    </row>
    <row r="4" spans="1:13" ht="73.5" customHeight="1">
      <c r="A4" s="2"/>
      <c r="B4" s="549" t="str">
        <f>'12.lan'!D195</f>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C4" s="549"/>
    </row>
    <row r="5" spans="1:13" ht="12.75" customHeight="1">
      <c r="A5" s="2"/>
      <c r="B5" s="32"/>
      <c r="C5" s="33"/>
    </row>
    <row r="6" spans="1:13" ht="19.5" customHeight="1">
      <c r="A6" s="2"/>
      <c r="B6" s="34" t="str">
        <f>'12.lan'!B108</f>
        <v>A: Lieferant*innen</v>
      </c>
      <c r="C6" s="35"/>
      <c r="D6" s="35"/>
      <c r="E6" s="35"/>
      <c r="F6" s="35"/>
    </row>
    <row r="7" spans="1:13" ht="19.5" customHeight="1">
      <c r="A7" s="2"/>
      <c r="B7" s="36" t="str">
        <f>'12.lan'!D297</f>
        <v>Gesamt-Ausgaben an Lieferanten (in Euro):</v>
      </c>
      <c r="C7" s="37">
        <v>0</v>
      </c>
      <c r="D7" s="430" t="str">
        <f>IF(SUM(F10:F14)&gt;C7,'12.lan'!D44,"")</f>
        <v/>
      </c>
      <c r="E7" s="38"/>
      <c r="F7" s="39"/>
    </row>
    <row r="8" spans="1:13" ht="19.5" customHeight="1">
      <c r="A8" s="2"/>
      <c r="B8" s="36" t="str">
        <f>'12.lan'!D298</f>
        <v xml:space="preserve">Tragen Sie nachstehend, bitte die 5 wichtigstenBranchen ein, aus denen Sie Produkte/Dienstleistungen beziehen. </v>
      </c>
      <c r="C8" s="35"/>
      <c r="D8" s="35"/>
      <c r="E8" s="35"/>
      <c r="F8" s="35"/>
    </row>
    <row r="9" spans="1:13" ht="19.5" customHeight="1">
      <c r="A9" s="2"/>
      <c r="B9" s="34" t="str">
        <f>'12.lan'!D299</f>
        <v>Branche</v>
      </c>
      <c r="C9" s="34" t="str">
        <f>'12.lan'!D300</f>
        <v>Beschreibung</v>
      </c>
      <c r="D9" s="34" t="str">
        <f>'12.lan'!D301</f>
        <v>regionale Herkunft</v>
      </c>
      <c r="E9" s="34"/>
      <c r="F9" s="34" t="str">
        <f>'12.lan'!D302</f>
        <v>Ausgaben</v>
      </c>
    </row>
    <row r="10" spans="1:13" ht="19.5" customHeight="1">
      <c r="A10" s="2"/>
      <c r="B10" s="40" t="str">
        <f>'12.lan'!$D$203</f>
        <v>Bitte Auswählen</v>
      </c>
      <c r="C10" s="37" t="str">
        <f>'12.lan'!$D$202</f>
        <v>bitte einfügen</v>
      </c>
      <c r="D10" s="37" t="str">
        <f>'12.lan'!$D$203</f>
        <v>Bitte Auswählen</v>
      </c>
      <c r="E10" s="37"/>
      <c r="F10" s="37">
        <v>0</v>
      </c>
    </row>
    <row r="11" spans="1:13" ht="19.5" customHeight="1">
      <c r="A11" s="2"/>
      <c r="B11" s="40" t="str">
        <f>'12.lan'!$D$203</f>
        <v>Bitte Auswählen</v>
      </c>
      <c r="C11" s="37" t="str">
        <f>'12.lan'!$D$202</f>
        <v>bitte einfügen</v>
      </c>
      <c r="D11" s="37" t="str">
        <f>'12.lan'!$D$203</f>
        <v>Bitte Auswählen</v>
      </c>
      <c r="E11" s="37"/>
      <c r="F11" s="37">
        <v>0</v>
      </c>
    </row>
    <row r="12" spans="1:13" ht="19.5" customHeight="1">
      <c r="A12" s="2"/>
      <c r="B12" s="40" t="str">
        <f>'12.lan'!$D$203</f>
        <v>Bitte Auswählen</v>
      </c>
      <c r="C12" s="37" t="str">
        <f>'12.lan'!$D$202</f>
        <v>bitte einfügen</v>
      </c>
      <c r="D12" s="37" t="str">
        <f>'12.lan'!$D$203</f>
        <v>Bitte Auswählen</v>
      </c>
      <c r="E12" s="37"/>
      <c r="F12" s="37">
        <v>0</v>
      </c>
    </row>
    <row r="13" spans="1:13" ht="19.5" customHeight="1">
      <c r="A13" s="2"/>
      <c r="B13" s="40" t="str">
        <f>'12.lan'!$D$203</f>
        <v>Bitte Auswählen</v>
      </c>
      <c r="C13" s="37" t="str">
        <f>'12.lan'!$D$202</f>
        <v>bitte einfügen</v>
      </c>
      <c r="D13" s="37" t="str">
        <f>'12.lan'!$D$203</f>
        <v>Bitte Auswählen</v>
      </c>
      <c r="E13" s="37"/>
      <c r="F13" s="37">
        <v>0</v>
      </c>
    </row>
    <row r="14" spans="1:13" ht="19.5" customHeight="1">
      <c r="A14" s="2"/>
      <c r="B14" s="40" t="str">
        <f>'12.lan'!$D$203</f>
        <v>Bitte Auswählen</v>
      </c>
      <c r="C14" s="37" t="str">
        <f>'12.lan'!$D$202</f>
        <v>bitte einfügen</v>
      </c>
      <c r="D14" s="37" t="str">
        <f>'12.lan'!$D$203</f>
        <v>Bitte Auswählen</v>
      </c>
      <c r="E14" s="37"/>
      <c r="F14" s="37">
        <v>0</v>
      </c>
    </row>
    <row r="15" spans="1:13" ht="19.5" customHeight="1">
      <c r="A15" s="2"/>
      <c r="B15" s="550" t="str">
        <f>'12.lan'!$D$303</f>
        <v>Überwiegende Herkunft restlicher Lieferanten</v>
      </c>
      <c r="C15" s="550"/>
      <c r="D15" s="37" t="str">
        <f>'12.lan'!$D$203</f>
        <v>Bitte Auswählen</v>
      </c>
      <c r="E15" s="37"/>
      <c r="F15" s="41">
        <f>C7-F10-F11-F12-F13-F14</f>
        <v>0</v>
      </c>
    </row>
    <row r="16" spans="1:13" ht="9.75" customHeight="1">
      <c r="A16" s="2"/>
      <c r="B16" s="42"/>
      <c r="C16" s="43"/>
    </row>
    <row r="17" spans="1:6" ht="19.5" customHeight="1">
      <c r="A17" s="2"/>
      <c r="B17" s="34" t="str">
        <f>'12.lan'!B122</f>
        <v>B: Eigentümer*innen und Finanzpartner*innen</v>
      </c>
      <c r="C17" s="35"/>
    </row>
    <row r="18" spans="1:6" ht="19.5" customHeight="1">
      <c r="A18" s="2"/>
      <c r="B18" s="36" t="str">
        <f>'12.lan'!D304</f>
        <v>Gewinn (EBIT):</v>
      </c>
      <c r="C18" s="37">
        <v>0</v>
      </c>
    </row>
    <row r="19" spans="1:6" ht="19.5" customHeight="1">
      <c r="A19" s="2"/>
      <c r="B19" s="36" t="str">
        <f>'12.lan'!D305</f>
        <v>Finanzierungskosten</v>
      </c>
      <c r="C19" s="37">
        <v>0</v>
      </c>
    </row>
    <row r="20" spans="1:6" ht="19.5" customHeight="1">
      <c r="A20" s="2"/>
      <c r="B20" s="36" t="str">
        <f>'12.lan'!D306</f>
        <v>Erträge aus Finanzanlagen</v>
      </c>
      <c r="C20" s="37">
        <v>0</v>
      </c>
    </row>
    <row r="21" spans="1:6" ht="19.5" customHeight="1">
      <c r="A21" s="2"/>
      <c r="B21" s="36" t="str">
        <f>'12.lan'!D307</f>
        <v>Bilanzaktiva</v>
      </c>
      <c r="C21" s="37">
        <v>0</v>
      </c>
    </row>
    <row r="22" spans="1:6" ht="19.5" customHeight="1">
      <c r="A22" s="2"/>
      <c r="B22" s="36" t="str">
        <f>'12.lan'!D308</f>
        <v xml:space="preserve">Zugänge zum Anlagevermögen </v>
      </c>
      <c r="C22" s="37">
        <v>0</v>
      </c>
    </row>
    <row r="23" spans="1:6" ht="19.5" customHeight="1">
      <c r="A23" s="2"/>
      <c r="B23" s="36" t="str">
        <f>'12.lan'!D309</f>
        <v>Finanzanlagen und Barguthaben</v>
      </c>
      <c r="C23" s="37">
        <v>0</v>
      </c>
    </row>
    <row r="24" spans="1:6" ht="9.75" customHeight="1">
      <c r="A24" s="2"/>
      <c r="B24" s="42"/>
      <c r="C24" s="44"/>
    </row>
    <row r="25" spans="1:6" ht="19.5" customHeight="1">
      <c r="A25" s="2"/>
      <c r="B25" s="34" t="str">
        <f>'12.lan'!B137</f>
        <v>C: Mitarbeitende</v>
      </c>
      <c r="C25" s="35"/>
    </row>
    <row r="26" spans="1:6" ht="19.5" customHeight="1">
      <c r="A26" s="2"/>
      <c r="B26" s="36" t="str">
        <f>'12.lan'!D310</f>
        <v xml:space="preserve">Anzahl der Mitarbeitenden (in Vollzeitäquivalenten): </v>
      </c>
      <c r="C26" s="37">
        <v>0</v>
      </c>
    </row>
    <row r="27" spans="1:6" ht="19.5" customHeight="1">
      <c r="A27" s="2"/>
      <c r="B27" s="36" t="str">
        <f>'12.lan'!D311</f>
        <v>Personalkosten (brutto ohne Dienstgeberanteil)</v>
      </c>
      <c r="C27" s="37">
        <v>0</v>
      </c>
    </row>
    <row r="28" spans="1:6" ht="19.5" customHeight="1">
      <c r="A28" s="2"/>
      <c r="B28" s="36" t="str">
        <f>'12.lan'!D312</f>
        <v>Tragen Sie bitte nachstehend jene drei Länder und Regionen ein, wo die meisten Mitarbeitenden arbeiten</v>
      </c>
      <c r="C28" s="35"/>
    </row>
    <row r="29" spans="1:6" ht="19.5" customHeight="1">
      <c r="A29" s="2"/>
      <c r="B29" s="36" t="str">
        <f>'12.lan'!D313</f>
        <v>Land &amp; Region</v>
      </c>
      <c r="C29" s="36"/>
      <c r="D29" s="1" t="str">
        <f>'12.lan'!D314</f>
        <v xml:space="preserve">Anteil in % </v>
      </c>
    </row>
    <row r="30" spans="1:6" ht="19.5" customHeight="1">
      <c r="A30" s="2"/>
      <c r="B30" s="37" t="str">
        <f>'12.lan'!$D$203</f>
        <v>Bitte Auswählen</v>
      </c>
      <c r="C30" s="37"/>
      <c r="D30" s="45">
        <v>0</v>
      </c>
      <c r="E30" s="38" t="str">
        <f>IF(SUM(D30:D32)&gt;"100%","fehlerhafte Eingabe","")</f>
        <v/>
      </c>
      <c r="F30" s="38"/>
    </row>
    <row r="31" spans="1:6" ht="19.5" customHeight="1">
      <c r="A31" s="2"/>
      <c r="B31" s="37" t="str">
        <f>'12.lan'!$D$203</f>
        <v>Bitte Auswählen</v>
      </c>
      <c r="C31" s="37"/>
      <c r="D31" s="45">
        <v>0</v>
      </c>
    </row>
    <row r="32" spans="1:6" ht="19.5" customHeight="1">
      <c r="A32" s="2"/>
      <c r="B32" s="37" t="str">
        <f>'12.lan'!$D$203</f>
        <v>Bitte Auswählen</v>
      </c>
      <c r="C32" s="37"/>
      <c r="D32" s="45">
        <v>0</v>
      </c>
    </row>
    <row r="33" spans="1:6" ht="19.5" customHeight="1">
      <c r="A33" s="2"/>
      <c r="B33" s="36" t="str">
        <f>'12.lan'!D315</f>
        <v>Durchschnittlicher Arbeitsweg der Mitarbeitenden (in km):</v>
      </c>
      <c r="C33" s="37">
        <v>0</v>
      </c>
    </row>
    <row r="34" spans="1:6" ht="19.5" customHeight="1">
      <c r="A34" s="2"/>
      <c r="B34" s="36" t="str">
        <f>'12.lan'!D316</f>
        <v>Gibt es eine Kantine für die Mehrheit der Mitarbeitenden?</v>
      </c>
      <c r="C34" s="20"/>
      <c r="D34" s="46" t="s">
        <v>5</v>
      </c>
      <c r="E34" s="46"/>
      <c r="F34" s="46" t="s">
        <v>6</v>
      </c>
    </row>
    <row r="35" spans="1:6" ht="9.75" customHeight="1">
      <c r="A35" s="2"/>
      <c r="B35" s="42"/>
      <c r="C35" s="44"/>
    </row>
    <row r="36" spans="1:6" ht="19.5" customHeight="1">
      <c r="A36" s="2"/>
      <c r="B36" s="34" t="str">
        <f>'12.lan'!B158</f>
        <v>D: Kund*nnen und Mitunternehmen</v>
      </c>
      <c r="C36" s="35"/>
      <c r="D36" s="35"/>
      <c r="E36" s="35"/>
      <c r="F36" s="35"/>
    </row>
    <row r="37" spans="1:6" ht="19.5" customHeight="1">
      <c r="A37" s="2"/>
      <c r="B37" s="36" t="str">
        <f>'12.lan'!D317</f>
        <v>Umsatz (in Euro)</v>
      </c>
      <c r="C37" s="37"/>
      <c r="D37" s="39"/>
      <c r="E37" s="39"/>
      <c r="F37" s="39"/>
    </row>
    <row r="38" spans="1:6" ht="19.5" customHeight="1">
      <c r="A38" s="2"/>
      <c r="B38" s="36" t="str">
        <f>'12.lan'!D318</f>
        <v>Haben Sie nahezu ausschließlich Unternehmen als Kunden</v>
      </c>
      <c r="C38" s="20"/>
      <c r="D38" s="39"/>
      <c r="E38" s="47"/>
      <c r="F38" s="47"/>
    </row>
    <row r="39" spans="1:6" ht="19.5" customHeight="1">
      <c r="A39" s="2"/>
      <c r="B39" s="36" t="str">
        <f>'12.lan'!D319</f>
        <v>Tragen Sie nachstehend, bitte die 3 wichtigsten Branchen ein, in denen Ihr Unternehmen tätig ist, inklusive ungefährem Umsatzanteil</v>
      </c>
      <c r="C39" s="35"/>
      <c r="D39" s="35"/>
      <c r="E39" s="44"/>
    </row>
    <row r="40" spans="1:6" ht="19.5" customHeight="1">
      <c r="A40" s="2"/>
      <c r="B40" s="36" t="str">
        <f>'12.lan'!D320</f>
        <v>Branche</v>
      </c>
      <c r="C40" s="36" t="str">
        <f>'12.lan'!D321</f>
        <v>Beschreibung</v>
      </c>
      <c r="D40" s="36" t="str">
        <f>'12.lan'!D322</f>
        <v>% Anteil am Gesamtumsatz</v>
      </c>
      <c r="E40" s="48"/>
    </row>
    <row r="41" spans="1:6" ht="19.5" customHeight="1">
      <c r="A41" s="2"/>
      <c r="B41" s="37" t="str">
        <f>'12.lan'!$D$203</f>
        <v>Bitte Auswählen</v>
      </c>
      <c r="C41" s="37"/>
      <c r="D41" s="45">
        <v>0</v>
      </c>
      <c r="E41" s="49"/>
      <c r="F41" s="50" t="str">
        <f>IF(SUM(D41:D43)&gt;"100%","fehlerhafte Eingabe","")</f>
        <v/>
      </c>
    </row>
    <row r="42" spans="1:6" ht="19.5" customHeight="1">
      <c r="A42" s="2"/>
      <c r="B42" s="37" t="str">
        <f>'12.lan'!$D$203</f>
        <v>Bitte Auswählen</v>
      </c>
      <c r="C42" s="37"/>
      <c r="D42" s="45">
        <v>0</v>
      </c>
      <c r="E42" s="49"/>
    </row>
    <row r="43" spans="1:6" ht="19.5" customHeight="1">
      <c r="A43" s="2"/>
      <c r="B43" s="37" t="str">
        <f>'12.lan'!$D$203</f>
        <v>Bitte Auswählen</v>
      </c>
      <c r="C43" s="37"/>
      <c r="D43" s="45">
        <v>0</v>
      </c>
      <c r="E43" s="49"/>
      <c r="F43" s="431" t="str">
        <f>IF(SUM(D41:D43)&gt;1,'12.lan'!D44,"")</f>
        <v/>
      </c>
    </row>
    <row r="44" spans="1:6" ht="9.75" customHeight="1">
      <c r="A44" s="2"/>
      <c r="B44" s="42"/>
      <c r="C44" s="44"/>
    </row>
    <row r="45" spans="1:6" ht="19.5" customHeight="1">
      <c r="A45" s="2"/>
      <c r="B45" s="34" t="str">
        <f>'12.lan'!B175</f>
        <v>E: Gesellschaftliches Umfeld</v>
      </c>
      <c r="C45" s="35"/>
      <c r="D45" s="35"/>
      <c r="E45" s="35"/>
      <c r="F45" s="35"/>
    </row>
    <row r="46" spans="1:6" ht="19.5" customHeight="1">
      <c r="A46" s="2"/>
      <c r="B46" s="36" t="str">
        <f>'12.lan'!D323</f>
        <v xml:space="preserve">Unternehmensgrösse </v>
      </c>
      <c r="C46" s="36" t="str">
        <f>'9. Weighting'!H39</f>
        <v>Kleinstunternehmen</v>
      </c>
    </row>
    <row r="47" spans="1:6" ht="9.75" customHeight="1">
      <c r="A47" s="2"/>
      <c r="B47" s="42"/>
      <c r="C47" s="44"/>
    </row>
    <row r="48" spans="1:6" ht="9.75" customHeight="1">
      <c r="A48" s="2"/>
      <c r="B48" s="42"/>
      <c r="C48" s="44"/>
    </row>
  </sheetData>
  <sheetProtection algorithmName="SHA-512" hashValue="uIoz3cjUidZUXOObfJdVA61zWMxuCT1sXuHkMhqDO/rG9tX0PoSObclCsG+IxMSlaOgCiBSOtt1NqiFKqXHMQg==" saltValue="xtLz3knCMYgGwfDRD0vgUQ==" spinCount="100000" sheet="1"/>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107"/>
  <sheetViews>
    <sheetView showGridLines="0" zoomScale="75" zoomScaleNormal="75" workbookViewId="0">
      <pane ySplit="8" topLeftCell="A9" activePane="bottomLeft" state="frozen"/>
      <selection pane="bottomLeft" activeCell="D92" sqref="D92"/>
    </sheetView>
  </sheetViews>
  <sheetFormatPr baseColWidth="10" defaultColWidth="10.6640625" defaultRowHeight="12.75" customHeight="1"/>
  <cols>
    <col min="1" max="1" width="1.33203125" style="11" customWidth="1"/>
    <col min="2" max="2" width="6.6640625" style="51" customWidth="1"/>
    <col min="3" max="3" width="68.6640625" style="52" customWidth="1"/>
    <col min="4" max="4" width="6.33203125" style="53" customWidth="1"/>
    <col min="5" max="5" width="12.6640625" style="53" customWidth="1"/>
    <col min="6" max="6" width="42.6640625" style="51" customWidth="1"/>
    <col min="7" max="7" width="4.33203125" style="51" customWidth="1"/>
    <col min="8" max="8" width="8.109375" style="53" customWidth="1"/>
    <col min="9" max="9" width="7.33203125" style="54" customWidth="1"/>
    <col min="10" max="10" width="7.33203125" style="55" customWidth="1"/>
    <col min="11" max="11" width="9.6640625" style="11" hidden="1" customWidth="1"/>
    <col min="12" max="12" width="12" style="11" hidden="1" customWidth="1"/>
    <col min="13" max="13" width="4.88671875" style="11" hidden="1" customWidth="1"/>
    <col min="14" max="14" width="21.109375" style="11" customWidth="1"/>
    <col min="15" max="15" width="10.6640625" style="11" hidden="1" customWidth="1"/>
    <col min="16" max="16" width="10.6640625" style="11"/>
    <col min="17" max="17" width="13.6640625" style="11" bestFit="1" customWidth="1"/>
    <col min="18" max="16384" width="10.6640625" style="11"/>
  </cols>
  <sheetData>
    <row r="1" spans="1:15" ht="12.75" customHeight="1">
      <c r="A1" s="13"/>
      <c r="B1" s="14"/>
      <c r="C1" s="22"/>
      <c r="D1" s="56"/>
      <c r="E1" s="56"/>
      <c r="F1" s="14"/>
      <c r="G1" s="14"/>
      <c r="H1" s="56"/>
      <c r="I1" s="57"/>
      <c r="J1" s="58"/>
    </row>
    <row r="2" spans="1:15" ht="12.75" customHeight="1">
      <c r="A2" s="13"/>
      <c r="B2" s="546" t="str">
        <f>'12.lan'!D91&amp;" - "&amp;'0. Intro'!B3&amp;" "&amp;'0. Intro'!C3</f>
        <v>Gemeinwohl-Bilanz-Rechner - Version 5.05</v>
      </c>
      <c r="C2" s="546"/>
      <c r="D2" s="56"/>
      <c r="E2" s="56"/>
      <c r="F2" s="14"/>
      <c r="G2" s="59"/>
      <c r="H2" s="551"/>
      <c r="I2" s="551"/>
      <c r="J2" s="551"/>
    </row>
    <row r="3" spans="1:15" ht="5.25" customHeight="1">
      <c r="A3" s="13"/>
      <c r="B3" s="552" t="str">
        <f>'12.lan'!D90</f>
        <v>BERECHNUNG DER EINZELNEN ASPEKTE</v>
      </c>
      <c r="C3" s="552"/>
      <c r="D3" s="552"/>
      <c r="E3" s="511"/>
      <c r="F3" s="60"/>
      <c r="G3" s="14"/>
      <c r="H3" s="551"/>
      <c r="I3" s="551"/>
      <c r="J3" s="551"/>
    </row>
    <row r="4" spans="1:15" ht="19.5" customHeight="1">
      <c r="A4" s="13"/>
      <c r="B4" s="552"/>
      <c r="C4" s="552"/>
      <c r="D4" s="552"/>
      <c r="E4" s="511"/>
      <c r="F4" s="553" t="str">
        <f>'12.lan'!D92</f>
        <v>BILANZSUMME:</v>
      </c>
      <c r="G4" s="61"/>
      <c r="H4" s="554">
        <f>I4/J4</f>
        <v>0</v>
      </c>
      <c r="I4" s="555">
        <f>IF(SUM(I9+I23+I38+I59+I76)*1000/SUM(J9+J23+J38+J59+J76)&lt;-3600,-3600,SUM(I9+I23+I38+I59+I76)*1000/SUM(J9+J23+J38+J59+J76))</f>
        <v>0</v>
      </c>
      <c r="J4" s="556">
        <f>SUM(J9+J23+J38+J59+J76)*1000/SUM(J9+J23+J38+J59+J76)</f>
        <v>1000</v>
      </c>
      <c r="L4" s="62" t="s">
        <v>8</v>
      </c>
      <c r="M4" s="62"/>
      <c r="N4" s="63"/>
      <c r="O4" s="11" t="s">
        <v>9</v>
      </c>
    </row>
    <row r="5" spans="1:15" ht="12.75" customHeight="1">
      <c r="A5" s="13"/>
      <c r="B5" s="557" t="str">
        <f>'12.lan'!D82&amp;": "&amp;'1. General'!C6&amp;"; "&amp;'12.lan'!D83&amp;": "&amp;'1. General'!C12</f>
        <v xml:space="preserve">Unternehmen: ; Bilanz-Jahr: </v>
      </c>
      <c r="C5" s="557"/>
      <c r="D5" s="557"/>
      <c r="E5" s="512"/>
      <c r="F5" s="553"/>
      <c r="G5" s="64"/>
      <c r="H5" s="554"/>
      <c r="I5" s="555"/>
      <c r="J5" s="556"/>
    </row>
    <row r="6" spans="1:15" ht="13.5" customHeight="1">
      <c r="A6" s="13"/>
      <c r="B6" s="14"/>
      <c r="C6" s="22"/>
      <c r="D6" s="56"/>
      <c r="E6" s="56"/>
      <c r="F6" s="14"/>
      <c r="G6" s="14"/>
      <c r="H6" s="56"/>
      <c r="I6" s="57"/>
      <c r="J6" s="58"/>
    </row>
    <row r="7" spans="1:15" ht="29.25" customHeight="1">
      <c r="A7" s="13"/>
      <c r="B7" s="558"/>
      <c r="C7" s="558"/>
      <c r="D7" s="558"/>
      <c r="E7" s="558"/>
      <c r="F7" s="558"/>
      <c r="G7" s="558"/>
      <c r="H7" s="558"/>
      <c r="I7" s="558"/>
      <c r="J7" s="558"/>
    </row>
    <row r="8" spans="1:15" ht="30" customHeight="1">
      <c r="A8" s="13"/>
      <c r="B8" s="65" t="str">
        <f>'12.lan'!D93</f>
        <v>Nr.</v>
      </c>
      <c r="C8" s="65" t="str">
        <f>'12.lan'!D107</f>
        <v>Berührungsgruppe/Themen/Aspekte</v>
      </c>
      <c r="D8" s="559" t="str">
        <f>'12.lan'!D96</f>
        <v>Gewichtung</v>
      </c>
      <c r="E8" s="559"/>
      <c r="F8" s="66" t="str">
        <f>'12.lan'!D102</f>
        <v>Erläuterung</v>
      </c>
      <c r="G8" s="66"/>
      <c r="H8" s="67" t="str">
        <f>'12.lan'!D104</f>
        <v>Erfüll.</v>
      </c>
      <c r="I8" s="68" t="str">
        <f>'12.lan'!D105</f>
        <v>Pkte</v>
      </c>
      <c r="J8" s="68" t="str">
        <f>'12.lan'!D106</f>
        <v>Max.</v>
      </c>
      <c r="L8" s="69" t="s">
        <v>10</v>
      </c>
      <c r="M8" s="69"/>
      <c r="O8" s="70" t="s">
        <v>11</v>
      </c>
    </row>
    <row r="9" spans="1:15" ht="36" customHeight="1">
      <c r="A9" s="13"/>
      <c r="B9" s="71" t="s">
        <v>12</v>
      </c>
      <c r="C9" s="508" t="str">
        <f>'12.lan'!D108</f>
        <v>Lieferant*innen</v>
      </c>
      <c r="D9" s="517">
        <f>L9</f>
        <v>1</v>
      </c>
      <c r="E9" s="509" t="str">
        <f>VLOOKUP(D9,$C$102:$D$106,2,FALSE)</f>
        <v>mittel</v>
      </c>
      <c r="F9" s="508"/>
      <c r="G9" s="508"/>
      <c r="H9" s="72">
        <f>IFERROR(I9/J9,0)</f>
        <v>0</v>
      </c>
      <c r="I9" s="73">
        <f>I10+I13+I17+I20</f>
        <v>0</v>
      </c>
      <c r="J9" s="73">
        <f>J10+J13+J17+J20</f>
        <v>179.48717948717947</v>
      </c>
      <c r="L9" s="11">
        <f>'9. Weighting'!K49</f>
        <v>1</v>
      </c>
      <c r="N9" s="510" t="str">
        <f>IF(D9&lt;&gt;L9,'12.lan'!$D$240&amp;VLOOKUP(L9,$C$102:$D$106,2,FALSE)&amp;" ("&amp;L9&amp;")","")</f>
        <v/>
      </c>
    </row>
    <row r="10" spans="1:15" ht="33" customHeight="1">
      <c r="A10" s="13"/>
      <c r="B10" s="75" t="s">
        <v>13</v>
      </c>
      <c r="C10" s="76" t="str">
        <f>'12.lan'!D109</f>
        <v>Menschenwürde in der Zulieferkette</v>
      </c>
      <c r="D10" s="77">
        <f>IF(K10="trifft nicht zu",C106,'9. Weighting'!M16)</f>
        <v>1</v>
      </c>
      <c r="E10" s="78" t="str">
        <f>VLOOKUP(D10,$C$102:$D$106,2,FALSE)</f>
        <v>mittel</v>
      </c>
      <c r="F10" s="79">
        <f>'9. Weighting'!M16</f>
        <v>1</v>
      </c>
      <c r="G10" s="76"/>
      <c r="H10" s="80">
        <f>IF(J10&lt;&gt;0,SUM(I11:I12)/J10,"-")</f>
        <v>0</v>
      </c>
      <c r="I10" s="81">
        <f>IF(J10=0,0,H10*J10)</f>
        <v>0</v>
      </c>
      <c r="J10" s="81">
        <f>'9. Weighting'!M15</f>
        <v>51.282051282051277</v>
      </c>
      <c r="K10" s="63"/>
      <c r="L10" s="11">
        <f>VLOOKUP(O10,$C$102:$E$106,3,FALSE)</f>
        <v>1</v>
      </c>
      <c r="M10" s="11">
        <f>VLOOKUP(D10,$C$102:$E$106,3,FALSE)</f>
        <v>1</v>
      </c>
      <c r="N10" s="82" t="str">
        <f>IF(L10=M10,"",'12.lan'!$D$240&amp;VLOOKUP(L10,$C$102:$D$106,2,FALSE)&amp;" ("&amp;L10&amp;")")</f>
        <v/>
      </c>
      <c r="O10" s="11">
        <f>IF(K10="trifft nicht zu",C106,'9. Weighting'!M16)</f>
        <v>1</v>
      </c>
    </row>
    <row r="11" spans="1:15" ht="33.75" customHeight="1">
      <c r="A11" s="13"/>
      <c r="B11" s="83" t="s">
        <v>14</v>
      </c>
      <c r="C11" s="83" t="str">
        <f>'12.lan'!D110</f>
        <v>Arbeitsbedingungen und gesellschaftliche Auswirkungen in der Zulieferkette</v>
      </c>
      <c r="D11" s="84"/>
      <c r="E11" s="85"/>
      <c r="F11" s="86" t="str">
        <f>'12.lan'!$D$329</f>
        <v>Skalenwert eingeben: Wert muss im Bereich von 0 bis 10 liegen.</v>
      </c>
      <c r="G11" s="87"/>
      <c r="H11" s="88">
        <v>0</v>
      </c>
      <c r="I11" s="527">
        <f>J11*H11/10</f>
        <v>0</v>
      </c>
      <c r="J11" s="89">
        <f>J10*K11/K11</f>
        <v>51.282051282051277</v>
      </c>
      <c r="K11" s="11">
        <v>1</v>
      </c>
      <c r="N11" s="82" t="str">
        <f>IF(L11=M11,"",'12.lan'!$D$240&amp;" "&amp;VLOOKUP(L11,$C$102:$D$106,2,FALSE)&amp;" ("&amp;L11&amp;")")</f>
        <v/>
      </c>
    </row>
    <row r="12" spans="1:15" ht="30" customHeight="1">
      <c r="A12" s="13"/>
      <c r="B12" s="83" t="s">
        <v>15</v>
      </c>
      <c r="C12" s="83" t="str">
        <f>'12.lan'!D111</f>
        <v>Negativ-Aspekt: Verletzung der Menschenwürde in der Zulieferkette</v>
      </c>
      <c r="D12" s="84"/>
      <c r="E12" s="85"/>
      <c r="F12" s="86" t="str">
        <f>'12.lan'!$D$330</f>
        <v>Negativpunkte eingeben: Werte müssen im Bereich von -200 bis 0 liegen.</v>
      </c>
      <c r="G12" s="87"/>
      <c r="H12" s="88">
        <v>0</v>
      </c>
      <c r="I12" s="527">
        <f>H12*J10/50</f>
        <v>0</v>
      </c>
      <c r="J12" s="89">
        <f>-200*J10/50</f>
        <v>-205.12820512820511</v>
      </c>
    </row>
    <row r="13" spans="1:15" ht="33" customHeight="1">
      <c r="A13" s="13"/>
      <c r="B13" s="75" t="s">
        <v>16</v>
      </c>
      <c r="C13" s="76" t="str">
        <f>'12.lan'!D112</f>
        <v>Solidarität und Gerechtigkeit in der Zulieferkette</v>
      </c>
      <c r="D13" s="77">
        <f>IF(K13="trifft nicht zu",C106,'9. Weighting'!N16)</f>
        <v>1</v>
      </c>
      <c r="E13" s="78" t="str">
        <f>VLOOKUP(D13,$C$102:$D$106,2,FALSE)</f>
        <v>mittel</v>
      </c>
      <c r="F13" s="90">
        <f>IF(K13="trifft nicht zu","trifft nicht zu",'9. Weighting'!N16)</f>
        <v>1</v>
      </c>
      <c r="G13" s="91"/>
      <c r="H13" s="80">
        <f>IF(J13&lt;&gt;0,SUM(I14:I16)/J13,"-")</f>
        <v>0</v>
      </c>
      <c r="I13" s="81">
        <f>IF(J13=0,0,H13*J13)</f>
        <v>0</v>
      </c>
      <c r="J13" s="81">
        <f>'9. Weighting'!N15</f>
        <v>51.282051282051277</v>
      </c>
      <c r="K13" s="63" t="str">
        <f>IF(AND(D14="trifft nicht zu",D15="trifft nicht zu"),"trifft nicht zu","")</f>
        <v/>
      </c>
      <c r="L13" s="11">
        <f>VLOOKUP(O13,$C$102:$E$106,3,FALSE)</f>
        <v>1</v>
      </c>
      <c r="M13" s="11">
        <f>VLOOKUP(D13,$C$102:$E$106,3,FALSE)</f>
        <v>1</v>
      </c>
      <c r="N13" s="82" t="str">
        <f>IF(L13=M13,"",'12.lan'!$D$240&amp;VLOOKUP(L13,$C$102:$D$106,2,FALSE)&amp;" ("&amp;L13&amp;")")</f>
        <v/>
      </c>
      <c r="O13" s="11">
        <f>IF(K13="trifft nicht zu",C106,'9. Weighting'!N16)</f>
        <v>1</v>
      </c>
    </row>
    <row r="14" spans="1:15" ht="30" customHeight="1">
      <c r="A14" s="13"/>
      <c r="B14" s="83" t="s">
        <v>17</v>
      </c>
      <c r="C14" s="83" t="str">
        <f>'12.lan'!D113</f>
        <v>Faire Geschäftsbeziehungen zu direkten Lieferant*innen</v>
      </c>
      <c r="D14" s="84">
        <v>1</v>
      </c>
      <c r="E14" s="97" t="str">
        <f>VLOOKUP(D14,$C$102:$D$106,2,FALSE)</f>
        <v>mittel</v>
      </c>
      <c r="F14" s="86" t="str">
        <f>'12.lan'!$D$329</f>
        <v>Skalenwert eingeben: Wert muss im Bereich von 0 bis 10 liegen.</v>
      </c>
      <c r="G14" s="87"/>
      <c r="H14" s="88">
        <v>0</v>
      </c>
      <c r="I14" s="527">
        <f>IFERROR(J14*H14/10,0)</f>
        <v>0</v>
      </c>
      <c r="J14" s="89">
        <f>IFERROR(J13*K14/(K15+K14),0)</f>
        <v>25.641025641025639</v>
      </c>
      <c r="K14" s="11">
        <f>VLOOKUP(D14,$C$102:$E$106,3,FALSE)</f>
        <v>1</v>
      </c>
      <c r="L14" s="11">
        <f>VLOOKUP(O14,$C$102:$E$106,3,FALSE)</f>
        <v>1</v>
      </c>
      <c r="M14" s="11">
        <f>VLOOKUP(D14,$C$102:$E$106,3,FALSE)</f>
        <v>1</v>
      </c>
      <c r="N14" s="82" t="str">
        <f>IF(L14=M14,"",'12.lan'!$D$240&amp;VLOOKUP(L14,$C$102:$D$106,2,FALSE)&amp;" ("&amp;L14&amp;")")</f>
        <v/>
      </c>
      <c r="O14" s="11">
        <f>C104</f>
        <v>1</v>
      </c>
    </row>
    <row r="15" spans="1:15" ht="34.5" customHeight="1">
      <c r="A15" s="13"/>
      <c r="B15" s="83" t="s">
        <v>18</v>
      </c>
      <c r="C15" s="83" t="str">
        <f>'12.lan'!D114</f>
        <v>Positive Einflussnahme auf Solidarität und Gerechtigkeit in der gesamten Zulieferkette</v>
      </c>
      <c r="D15" s="84">
        <f>C104</f>
        <v>1</v>
      </c>
      <c r="E15" s="85" t="str">
        <f>VLOOKUP(D15,$C$102:$D$106,2,FALSE)</f>
        <v>mittel</v>
      </c>
      <c r="F15" s="86" t="str">
        <f>'12.lan'!$D$329</f>
        <v>Skalenwert eingeben: Wert muss im Bereich von 0 bis 10 liegen.</v>
      </c>
      <c r="G15" s="87"/>
      <c r="H15" s="88">
        <v>0</v>
      </c>
      <c r="I15" s="527">
        <f>IFERROR(J15*H15/10,0)</f>
        <v>0</v>
      </c>
      <c r="J15" s="89">
        <f>IFERROR(J13*K15/(K14+K15),0)</f>
        <v>25.641025641025639</v>
      </c>
      <c r="K15" s="11">
        <f>VLOOKUP(D15,$C$102:$E$106,3,FALSE)</f>
        <v>1</v>
      </c>
      <c r="L15" s="11">
        <f>VLOOKUP(O15,$C$102:$E$106,3,FALSE)</f>
        <v>1</v>
      </c>
      <c r="M15" s="11">
        <f>VLOOKUP(D15,$C$102:$E$106,3,FALSE)</f>
        <v>1</v>
      </c>
      <c r="N15" s="82" t="str">
        <f>IF(L15=M15,"",'12.lan'!$D$240&amp;VLOOKUP(L15,$C$102:$D$106,2,FALSE)&amp;" ("&amp;L15&amp;")")</f>
        <v/>
      </c>
      <c r="O15" s="11">
        <f>C104</f>
        <v>1</v>
      </c>
    </row>
    <row r="16" spans="1:15" ht="33" customHeight="1">
      <c r="A16" s="13"/>
      <c r="B16" s="83" t="s">
        <v>19</v>
      </c>
      <c r="C16" s="83" t="str">
        <f>'12.lan'!D115</f>
        <v>Negativ-Aspekt: Ausnutzung der Marktmacht gegenüber Lieferant*innen</v>
      </c>
      <c r="D16" s="84"/>
      <c r="E16" s="85"/>
      <c r="F16" s="86" t="str">
        <f>'12.lan'!$D$330</f>
        <v>Negativpunkte eingeben: Werte müssen im Bereich von -200 bis 0 liegen.</v>
      </c>
      <c r="G16" s="87"/>
      <c r="H16" s="88">
        <v>0</v>
      </c>
      <c r="I16" s="527">
        <f>H16*J13/50</f>
        <v>0</v>
      </c>
      <c r="J16" s="89">
        <f>-200*J13/50</f>
        <v>-205.12820512820511</v>
      </c>
    </row>
    <row r="17" spans="1:15" ht="33" customHeight="1">
      <c r="A17" s="13"/>
      <c r="B17" s="75" t="s">
        <v>20</v>
      </c>
      <c r="C17" s="76" t="str">
        <f>'12.lan'!D116</f>
        <v>Ökologische Nachhaltigkeit in der Zulieferkette</v>
      </c>
      <c r="D17" s="77">
        <f>IF(K17="trifft nicht zu",C106,'9. Weighting'!O16)</f>
        <v>1</v>
      </c>
      <c r="E17" s="78" t="str">
        <f>VLOOKUP(D17,$C$102:$D$106,2,FALSE)</f>
        <v>mittel</v>
      </c>
      <c r="F17" s="90">
        <f>IF(K17="trifft nicht zu","trifft nicht zu",'9. Weighting'!O16)</f>
        <v>1</v>
      </c>
      <c r="G17" s="91"/>
      <c r="H17" s="80">
        <f>IF(J17&lt;&gt;0,SUM(I18:I19)/J17,"-")</f>
        <v>0</v>
      </c>
      <c r="I17" s="81">
        <f>IF(J17=0,0,H17*J17)</f>
        <v>0</v>
      </c>
      <c r="J17" s="81">
        <f>'9. Weighting'!O15</f>
        <v>51.282051282051277</v>
      </c>
      <c r="K17" s="63" t="str">
        <f>IF(D18="trifft nicht zu","trifft nicht zu","")</f>
        <v/>
      </c>
      <c r="L17" s="11">
        <f>VLOOKUP(O17,$C$102:$E$106,3,FALSE)</f>
        <v>1</v>
      </c>
      <c r="M17" s="11">
        <f>VLOOKUP(D17,$C$102:$E$106,3,FALSE)</f>
        <v>1</v>
      </c>
      <c r="N17" s="82" t="str">
        <f>IF(L17=M17,"",'12.lan'!$D$240&amp;VLOOKUP(L17,$C$102:$D$106,2,FALSE)&amp;" ("&amp;L17&amp;")")</f>
        <v/>
      </c>
      <c r="O17" s="11">
        <f>IF(K17="trifft nicht zu",C106,'9. Weighting'!O16)</f>
        <v>1</v>
      </c>
    </row>
    <row r="18" spans="1:15" ht="30" customHeight="1">
      <c r="A18" s="13"/>
      <c r="B18" s="83" t="s">
        <v>21</v>
      </c>
      <c r="C18" s="83" t="str">
        <f>'12.lan'!D117</f>
        <v>Umweltauswirkungen in der Zulieferkette</v>
      </c>
      <c r="D18" s="84"/>
      <c r="E18" s="85"/>
      <c r="F18" s="86" t="str">
        <f>'12.lan'!$D$329</f>
        <v>Skalenwert eingeben: Wert muss im Bereich von 0 bis 10 liegen.</v>
      </c>
      <c r="G18" s="87"/>
      <c r="H18" s="88">
        <v>0</v>
      </c>
      <c r="I18" s="527">
        <f>J18*H18/10</f>
        <v>0</v>
      </c>
      <c r="J18" s="89">
        <f>J17*K18/K18</f>
        <v>51.282051282051277</v>
      </c>
      <c r="K18" s="11">
        <v>1</v>
      </c>
      <c r="N18" s="82" t="str">
        <f>IF(L18=M18,"",'12.lan'!$D$240&amp;VLOOKUP(L18,$C$102:$D$106,2,FALSE)&amp;" ("&amp;L18&amp;")")</f>
        <v/>
      </c>
    </row>
    <row r="19" spans="1:15" ht="33" customHeight="1">
      <c r="A19" s="13"/>
      <c r="B19" s="83" t="s">
        <v>22</v>
      </c>
      <c r="C19" s="83" t="str">
        <f>'12.lan'!D118</f>
        <v>Negativ-Aspekt:Unverhältnismäßig hohe Umweltauswirkungen in der Zulieferkette</v>
      </c>
      <c r="D19" s="84"/>
      <c r="E19" s="85"/>
      <c r="F19" s="86" t="str">
        <f>'12.lan'!$D$330</f>
        <v>Negativpunkte eingeben: Werte müssen im Bereich von -200 bis 0 liegen.</v>
      </c>
      <c r="G19" s="87"/>
      <c r="H19" s="88">
        <v>0</v>
      </c>
      <c r="I19" s="527">
        <f>H19*J17/50</f>
        <v>0</v>
      </c>
      <c r="J19" s="89">
        <f>-200*J17/50</f>
        <v>-205.12820512820511</v>
      </c>
    </row>
    <row r="20" spans="1:15" ht="33" customHeight="1">
      <c r="A20" s="13"/>
      <c r="B20" s="75" t="s">
        <v>23</v>
      </c>
      <c r="C20" s="76" t="str">
        <f>'12.lan'!D119</f>
        <v>Transparenz und Mitentscheidung in der Zulieferkette</v>
      </c>
      <c r="D20" s="77">
        <f>IF(K20="trifft nicht zu",C106,'9. Weighting'!P16)</f>
        <v>0.5</v>
      </c>
      <c r="E20" s="78" t="str">
        <f t="shared" ref="E20:E28" si="0">VLOOKUP(D20,$C$102:$D$106,2,FALSE)</f>
        <v>niedrig</v>
      </c>
      <c r="F20" s="90">
        <f>IF(K20="trifft nicht zu","trifft nicht zu",'9. Weighting'!P16)</f>
        <v>0.5</v>
      </c>
      <c r="G20" s="91"/>
      <c r="H20" s="80">
        <f>IF(J20&lt;&gt;0,SUM(I21:I22)/J20,"-")</f>
        <v>0</v>
      </c>
      <c r="I20" s="81">
        <f>IF(J20=0,0,H20*J20)</f>
        <v>0</v>
      </c>
      <c r="J20" s="81">
        <f>'9. Weighting'!P15</f>
        <v>25.641025641025639</v>
      </c>
      <c r="K20" s="63" t="str">
        <f>IF(AND(D21="trifft nicht zu",D22="trifft nicht zu"),"trifft nicht zu","")</f>
        <v/>
      </c>
      <c r="L20" s="11">
        <f>VLOOKUP(O20,$C$102:$E$106,3,FALSE)</f>
        <v>0.5</v>
      </c>
      <c r="M20" s="11">
        <f>VLOOKUP(D20,$C$102:$E$106,3,FALSE)</f>
        <v>0.5</v>
      </c>
      <c r="N20" s="82" t="str">
        <f>IF(L20=M20,"",'12.lan'!$D$240&amp;VLOOKUP(L20,$C$102:$D$106,2,FALSE)&amp;" ("&amp;L20&amp;")")</f>
        <v/>
      </c>
      <c r="O20" s="11">
        <f>IF(K20="trifft nicht zu",C106,'9. Weighting'!P16)</f>
        <v>0.5</v>
      </c>
    </row>
    <row r="21" spans="1:15" ht="36.75" customHeight="1">
      <c r="A21" s="13"/>
      <c r="B21" s="83" t="s">
        <v>24</v>
      </c>
      <c r="C21" s="83" t="str">
        <f>'12.lan'!D120</f>
        <v>Transparenz und Mitentscheidungsrechte für Lieferant*innen</v>
      </c>
      <c r="D21" s="84">
        <f>C104</f>
        <v>1</v>
      </c>
      <c r="E21" s="85" t="str">
        <f t="shared" si="0"/>
        <v>mittel</v>
      </c>
      <c r="F21" s="86" t="str">
        <f>'12.lan'!$D$329</f>
        <v>Skalenwert eingeben: Wert muss im Bereich von 0 bis 10 liegen.</v>
      </c>
      <c r="G21" s="87"/>
      <c r="H21" s="88">
        <v>0</v>
      </c>
      <c r="I21" s="527">
        <f>IFERROR(J21*H21/10,0)</f>
        <v>0</v>
      </c>
      <c r="J21" s="89">
        <f>IFERROR(J20*K21/(K22+K21),0)</f>
        <v>12.820512820512819</v>
      </c>
      <c r="K21" s="11">
        <f>VLOOKUP(D21,$C$102:$E$106,3,FALSE)</f>
        <v>1</v>
      </c>
      <c r="L21" s="11">
        <f>VLOOKUP(O21,$C$102:$E$106,3,FALSE)</f>
        <v>1</v>
      </c>
      <c r="M21" s="11">
        <f>VLOOKUP(D21,$C$102:$E$106,3,FALSE)</f>
        <v>1</v>
      </c>
      <c r="N21" s="82" t="str">
        <f>IF(L21=M21,"",'12.lan'!$D$240&amp;VLOOKUP(L21,$C$102:$D$106,2,FALSE)&amp;" ("&amp;L21&amp;")")</f>
        <v/>
      </c>
      <c r="O21" s="11">
        <f>C104</f>
        <v>1</v>
      </c>
    </row>
    <row r="22" spans="1:15" ht="40.5" customHeight="1">
      <c r="A22" s="13"/>
      <c r="B22" s="83" t="s">
        <v>25</v>
      </c>
      <c r="C22" s="83" t="str">
        <f>'12.lan'!D121</f>
        <v>Positive Einflussnahme auf Transparenz und Mitentscheidung in der gesamten Zulieferkette</v>
      </c>
      <c r="D22" s="84">
        <f>C104</f>
        <v>1</v>
      </c>
      <c r="E22" s="85" t="str">
        <f t="shared" si="0"/>
        <v>mittel</v>
      </c>
      <c r="F22" s="86" t="str">
        <f>'12.lan'!$D$329</f>
        <v>Skalenwert eingeben: Wert muss im Bereich von 0 bis 10 liegen.</v>
      </c>
      <c r="G22" s="87"/>
      <c r="H22" s="88">
        <v>0</v>
      </c>
      <c r="I22" s="527">
        <f>IFERROR(J22*H22/10,0)</f>
        <v>0</v>
      </c>
      <c r="J22" s="89">
        <f>IFERROR(J20*K22/(K21+K22),0)</f>
        <v>12.820512820512819</v>
      </c>
      <c r="K22" s="11">
        <f>VLOOKUP(D22,$C$102:$E$106,3,FALSE)</f>
        <v>1</v>
      </c>
      <c r="L22" s="11">
        <f>VLOOKUP(O22,$C$102:$E$106,3,FALSE)</f>
        <v>1</v>
      </c>
      <c r="M22" s="11">
        <f>VLOOKUP(D22,$C$102:$E$106,3,FALSE)</f>
        <v>1</v>
      </c>
      <c r="N22" s="82" t="str">
        <f>IF(L22=M22,"",'12.lan'!$D$240&amp;VLOOKUP(L22,$C$102:$D$106,2,FALSE)&amp;" ("&amp;L22&amp;")")</f>
        <v/>
      </c>
      <c r="O22" s="11">
        <f>C104</f>
        <v>1</v>
      </c>
    </row>
    <row r="23" spans="1:15" ht="36" customHeight="1">
      <c r="A23" s="13"/>
      <c r="B23" s="71" t="s">
        <v>26</v>
      </c>
      <c r="C23" s="71" t="str">
        <f>'12.lan'!D122</f>
        <v>Eigentümer*innen und Finanzpartner*innen</v>
      </c>
      <c r="D23" s="92">
        <f>L23</f>
        <v>1</v>
      </c>
      <c r="E23" s="513" t="str">
        <f t="shared" si="0"/>
        <v>mittel</v>
      </c>
      <c r="F23" s="93"/>
      <c r="G23" s="93"/>
      <c r="H23" s="72">
        <f>IFERROR(I23/J23,0)</f>
        <v>0</v>
      </c>
      <c r="I23" s="73">
        <f>I24+I28+I31+I35</f>
        <v>0</v>
      </c>
      <c r="J23" s="73">
        <f>J24+J28+J31+J35</f>
        <v>205.12820512820511</v>
      </c>
      <c r="L23" s="11">
        <f>'9. Weighting'!K50</f>
        <v>1</v>
      </c>
      <c r="N23" s="510" t="str">
        <f>IF(D23&lt;&gt;L23,'12.lan'!$D$240&amp;VLOOKUP(L23,$C$102:$D$106,2,FALSE)&amp;" ("&amp;L23&amp;")","")</f>
        <v/>
      </c>
    </row>
    <row r="24" spans="1:15" ht="33" customHeight="1">
      <c r="A24" s="13"/>
      <c r="B24" s="75" t="s">
        <v>27</v>
      </c>
      <c r="C24" s="76" t="str">
        <f>'12.lan'!D123</f>
        <v>Ethische Haltung im Umgang mit Geldmitteln</v>
      </c>
      <c r="D24" s="77">
        <f>IF(K24="trifft nicht zu",C106,'9. Weighting'!M24)</f>
        <v>1</v>
      </c>
      <c r="E24" s="94" t="str">
        <f t="shared" si="0"/>
        <v>mittel</v>
      </c>
      <c r="F24" s="90">
        <f>IF(K24="trifft nicht zu","trifft nicht zu",'9. Weighting'!M24)</f>
        <v>1</v>
      </c>
      <c r="G24" s="91"/>
      <c r="H24" s="80">
        <f>IF(J24&lt;&gt;0,SUM(I25:I27)/J24,"-")</f>
        <v>0</v>
      </c>
      <c r="I24" s="81">
        <f>IF(J24=0,0,H24*J24)</f>
        <v>0</v>
      </c>
      <c r="J24" s="81">
        <f>'9. Weighting'!M23</f>
        <v>51.282051282051277</v>
      </c>
      <c r="K24" s="63" t="str">
        <f>IF(AND(D25="trifft nicht zu",D26="trifft nicht zu",,D27="trifft nicht zu"),"trifft nicht zu","")</f>
        <v/>
      </c>
      <c r="L24" s="11">
        <f t="shared" ref="L24:L29" si="1">VLOOKUP(O24,$C$102:$E$106,3,FALSE)</f>
        <v>1</v>
      </c>
      <c r="M24" s="11">
        <f t="shared" ref="M24:M29" si="2">VLOOKUP(D24,$C$102:$E$106,3,FALSE)</f>
        <v>1</v>
      </c>
      <c r="N24" s="82" t="str">
        <f>IF(L24=M24,"",'12.lan'!$D$240&amp;VLOOKUP(L24,$C$102:$D$106,2,FALSE)&amp;" ("&amp;L24&amp;")")</f>
        <v/>
      </c>
      <c r="O24" s="95">
        <f>IF(K24="trifft nicht zu",C106,'9. Weighting'!M24)</f>
        <v>1</v>
      </c>
    </row>
    <row r="25" spans="1:15" ht="30" customHeight="1">
      <c r="A25" s="13"/>
      <c r="B25" s="96" t="s">
        <v>28</v>
      </c>
      <c r="C25" s="83" t="str">
        <f>'12.lan'!D124</f>
        <v>Finanzielle Unabhängigkeit durch Eigenfinanzierung</v>
      </c>
      <c r="D25" s="84">
        <f>C104</f>
        <v>1</v>
      </c>
      <c r="E25" s="97" t="str">
        <f t="shared" si="0"/>
        <v>mittel</v>
      </c>
      <c r="F25" s="86" t="str">
        <f>'12.lan'!$D$329</f>
        <v>Skalenwert eingeben: Wert muss im Bereich von 0 bis 10 liegen.</v>
      </c>
      <c r="G25" s="87"/>
      <c r="H25" s="88">
        <v>0</v>
      </c>
      <c r="I25" s="527">
        <f>IFERROR(J25*H25/10,0)</f>
        <v>0</v>
      </c>
      <c r="J25" s="89">
        <f>IFERROR($J$24*K25/($K$27+$K$26+$K$25),0)</f>
        <v>17.094017094017094</v>
      </c>
      <c r="K25" s="11">
        <f>VLOOKUP(D25,$C$102:$E$106,3,FALSE)</f>
        <v>1</v>
      </c>
      <c r="L25" s="11">
        <f t="shared" si="1"/>
        <v>1</v>
      </c>
      <c r="M25" s="11">
        <f t="shared" si="2"/>
        <v>1</v>
      </c>
      <c r="N25" s="82" t="str">
        <f>IF(L25=M25,"",'12.lan'!$D$240&amp;VLOOKUP(L25,$C$102:$D$106,2,FALSE)&amp;" ("&amp;L25&amp;")")</f>
        <v/>
      </c>
      <c r="O25" s="11">
        <f>C104</f>
        <v>1</v>
      </c>
    </row>
    <row r="26" spans="1:15" ht="30" customHeight="1">
      <c r="A26" s="13"/>
      <c r="B26" s="21" t="s">
        <v>29</v>
      </c>
      <c r="C26" s="30" t="str">
        <f>'12.lan'!D125</f>
        <v>Gemeinwohlorientierte Fremdfinanzierung</v>
      </c>
      <c r="D26" s="84">
        <f>C104</f>
        <v>1</v>
      </c>
      <c r="E26" s="97" t="str">
        <f t="shared" si="0"/>
        <v>mittel</v>
      </c>
      <c r="F26" s="86" t="str">
        <f>'12.lan'!$D$329</f>
        <v>Skalenwert eingeben: Wert muss im Bereich von 0 bis 10 liegen.</v>
      </c>
      <c r="G26" s="87"/>
      <c r="H26" s="88">
        <v>0</v>
      </c>
      <c r="I26" s="527">
        <f>IFERROR(J26*H26/10,0)</f>
        <v>0</v>
      </c>
      <c r="J26" s="89">
        <f>IFERROR($J$24*K26/($K$27+$K$26+$K$25),0)</f>
        <v>17.094017094017094</v>
      </c>
      <c r="K26" s="11">
        <f>VLOOKUP(D26,$C$102:$E$106,3,FALSE)</f>
        <v>1</v>
      </c>
      <c r="L26" s="11">
        <f t="shared" si="1"/>
        <v>1</v>
      </c>
      <c r="M26" s="11">
        <f t="shared" si="2"/>
        <v>1</v>
      </c>
      <c r="N26" s="82" t="str">
        <f>IF(L26=M26,"",'12.lan'!$D$240&amp;VLOOKUP(L26,$C$102:$D$106,2,FALSE)&amp;" ("&amp;L26&amp;")")</f>
        <v/>
      </c>
      <c r="O26" s="11">
        <f>C104</f>
        <v>1</v>
      </c>
    </row>
    <row r="27" spans="1:15" ht="30" customHeight="1">
      <c r="A27" s="13"/>
      <c r="B27" s="21" t="s">
        <v>30</v>
      </c>
      <c r="C27" s="30" t="str">
        <f>'12.lan'!D126</f>
        <v>Ethische Haltung externer Finanzpartner*innen</v>
      </c>
      <c r="D27" s="84">
        <f>C104</f>
        <v>1</v>
      </c>
      <c r="E27" s="97" t="str">
        <f t="shared" si="0"/>
        <v>mittel</v>
      </c>
      <c r="F27" s="86" t="str">
        <f>'12.lan'!$D$329</f>
        <v>Skalenwert eingeben: Wert muss im Bereich von 0 bis 10 liegen.</v>
      </c>
      <c r="G27" s="87"/>
      <c r="H27" s="88">
        <v>0</v>
      </c>
      <c r="I27" s="527">
        <f>IFERROR(J27*H27/10,0)</f>
        <v>0</v>
      </c>
      <c r="J27" s="89">
        <f>IFERROR($J$24*K27/($K$27+$K$26+$K$25),0)</f>
        <v>17.094017094017094</v>
      </c>
      <c r="K27" s="11">
        <f>VLOOKUP(D27,$C$102:$E$106,3,FALSE)</f>
        <v>1</v>
      </c>
      <c r="L27" s="11">
        <f t="shared" si="1"/>
        <v>1</v>
      </c>
      <c r="M27" s="11">
        <f t="shared" si="2"/>
        <v>1</v>
      </c>
      <c r="N27" s="82" t="str">
        <f>IF(L27=M27,"",'12.lan'!$D$240&amp;VLOOKUP(L27,$C$102:$D$106,2,FALSE)&amp;" ("&amp;L27&amp;")")</f>
        <v/>
      </c>
      <c r="O27" s="11">
        <f>C104</f>
        <v>1</v>
      </c>
    </row>
    <row r="28" spans="1:15" ht="33" customHeight="1">
      <c r="A28" s="13"/>
      <c r="B28" s="75" t="s">
        <v>31</v>
      </c>
      <c r="C28" s="76" t="str">
        <f>'12.lan'!D127</f>
        <v>Soziale Haltung im Umgang mit Geldmitteln</v>
      </c>
      <c r="D28" s="77">
        <f>IF(K28="trifft nicht zu",C106,'9. Weighting'!N24)</f>
        <v>1</v>
      </c>
      <c r="E28" s="94" t="str">
        <f t="shared" si="0"/>
        <v>mittel</v>
      </c>
      <c r="F28" s="90">
        <f>IF(K28="trifft nicht zu","trifft nicht zu",'9. Weighting'!N24)</f>
        <v>1</v>
      </c>
      <c r="G28" s="91"/>
      <c r="H28" s="80">
        <f>IF(J28&lt;&gt;0,SUM(I29:I30)/J28,"-")</f>
        <v>0</v>
      </c>
      <c r="I28" s="81">
        <f>IF(J28=0,0,H28*J28)</f>
        <v>0</v>
      </c>
      <c r="J28" s="81">
        <f>'9. Weighting'!N23</f>
        <v>51.282051282051277</v>
      </c>
      <c r="L28" s="11">
        <f t="shared" si="1"/>
        <v>1</v>
      </c>
      <c r="M28" s="11">
        <f t="shared" si="2"/>
        <v>1</v>
      </c>
      <c r="N28" s="82" t="str">
        <f>IF(L28=M28,"",'12.lan'!$D$240&amp;VLOOKUP(L28,$C$102:$D$106,2,FALSE)&amp;" ("&amp;L28&amp;")")</f>
        <v/>
      </c>
      <c r="O28" s="95">
        <f>IF(K28="trifft nicht zu",C106,'9. Weighting'!N24)</f>
        <v>1</v>
      </c>
    </row>
    <row r="29" spans="1:15" ht="30" customHeight="1">
      <c r="A29" s="13"/>
      <c r="B29" s="96" t="s">
        <v>32</v>
      </c>
      <c r="C29" s="83" t="str">
        <f>'12.lan'!D128</f>
        <v>Solidarische und gemeinwohlorientierte Mittelverwendung</v>
      </c>
      <c r="D29" s="98"/>
      <c r="E29" s="514"/>
      <c r="F29" s="86" t="str">
        <f>'12.lan'!$D$329</f>
        <v>Skalenwert eingeben: Wert muss im Bereich von 0 bis 10 liegen.</v>
      </c>
      <c r="G29" s="87"/>
      <c r="H29" s="88">
        <v>0</v>
      </c>
      <c r="I29" s="527">
        <f>J29*H29/10</f>
        <v>0</v>
      </c>
      <c r="J29" s="89">
        <f>$J$28*K29/(K29)</f>
        <v>51.282051282051277</v>
      </c>
      <c r="K29" s="11">
        <v>1</v>
      </c>
      <c r="L29" s="11">
        <f t="shared" si="1"/>
        <v>0</v>
      </c>
      <c r="M29" s="11">
        <f t="shared" si="2"/>
        <v>0</v>
      </c>
      <c r="N29" s="82"/>
    </row>
    <row r="30" spans="1:15" ht="30" customHeight="1">
      <c r="A30" s="13"/>
      <c r="B30" s="21" t="s">
        <v>33</v>
      </c>
      <c r="C30" s="30" t="str">
        <f>'12.lan'!D129</f>
        <v>Negativ-Aspekt: Unfaire Verteilung von Geldmittel</v>
      </c>
      <c r="D30" s="99"/>
      <c r="E30" s="97"/>
      <c r="F30" s="86" t="str">
        <f>'12.lan'!$D$330</f>
        <v>Negativpunkte eingeben: Werte müssen im Bereich von -200 bis 0 liegen.</v>
      </c>
      <c r="G30" s="87"/>
      <c r="H30" s="88">
        <v>0</v>
      </c>
      <c r="I30" s="527">
        <f>H30*J28/50</f>
        <v>0</v>
      </c>
      <c r="J30" s="89">
        <f>-200*J28/50</f>
        <v>-205.12820512820511</v>
      </c>
    </row>
    <row r="31" spans="1:15" ht="33" customHeight="1">
      <c r="A31" s="13"/>
      <c r="B31" s="75" t="s">
        <v>34</v>
      </c>
      <c r="C31" s="76" t="str">
        <f>'12.lan'!D130</f>
        <v>Sozial-ökologische Investitionen und Mittelverwendung</v>
      </c>
      <c r="D31" s="77">
        <f>IF(K31="trifft nicht zu",C106,'9. Weighting'!O24)</f>
        <v>1</v>
      </c>
      <c r="E31" s="94" t="str">
        <f>VLOOKUP(D31,$C$102:$D$106,2,FALSE)</f>
        <v>mittel</v>
      </c>
      <c r="F31" s="90">
        <f>IF(K31="trifft nicht zu","trifft nicht zu",'9. Weighting'!O24)</f>
        <v>1</v>
      </c>
      <c r="G31" s="91"/>
      <c r="H31" s="80">
        <f>IF(J31&lt;&gt;0,SUM(I32:I34)/J31,"-")</f>
        <v>0</v>
      </c>
      <c r="I31" s="81">
        <f>IF(J31=0,0,H31*J31)</f>
        <v>0</v>
      </c>
      <c r="J31" s="81">
        <f>'9. Weighting'!O23</f>
        <v>51.282051282051277</v>
      </c>
      <c r="K31" s="63" t="str">
        <f>IF(AND(D32="trifft nicht zu",D33="trifft nicht zu"),"trifft nicht zu","")</f>
        <v/>
      </c>
      <c r="L31" s="11">
        <f>VLOOKUP(O31,$C$102:$E$106,3,FALSE)</f>
        <v>1</v>
      </c>
      <c r="M31" s="11">
        <f>VLOOKUP(D31,$C$102:$E$106,3,FALSE)</f>
        <v>1</v>
      </c>
      <c r="N31" s="82" t="str">
        <f>IF(L31=M31,"",'12.lan'!$D$240&amp;VLOOKUP(L31,$C$102:$D$106,2,FALSE)&amp;" ("&amp;L31&amp;")")</f>
        <v/>
      </c>
      <c r="O31" s="95">
        <f>IF(K31="trifft nicht zu",C106,'9. Weighting'!O24)</f>
        <v>1</v>
      </c>
    </row>
    <row r="32" spans="1:15" ht="30" customHeight="1">
      <c r="A32" s="13"/>
      <c r="B32" s="96" t="s">
        <v>35</v>
      </c>
      <c r="C32" s="83" t="str">
        <f>'12.lan'!D131</f>
        <v>Ökologische Qualität der Investitionen</v>
      </c>
      <c r="D32" s="84">
        <f>C104</f>
        <v>1</v>
      </c>
      <c r="E32" s="97" t="str">
        <f>VLOOKUP(D32,$C$102:$D$106,2,FALSE)</f>
        <v>mittel</v>
      </c>
      <c r="F32" s="86" t="str">
        <f>'12.lan'!$D$329</f>
        <v>Skalenwert eingeben: Wert muss im Bereich von 0 bis 10 liegen.</v>
      </c>
      <c r="G32" s="87"/>
      <c r="H32" s="88">
        <v>0</v>
      </c>
      <c r="I32" s="527">
        <f>IFERROR(J32*H32/10,0)</f>
        <v>0</v>
      </c>
      <c r="J32" s="89">
        <f>IFERROR($J$31*K32/($K$32+$K$33),0)</f>
        <v>25.641025641025639</v>
      </c>
      <c r="K32" s="11">
        <f>VLOOKUP(D32,$C$102:$E$106,3,FALSE)</f>
        <v>1</v>
      </c>
      <c r="L32" s="11">
        <f>VLOOKUP(O32,$C$102:$E$106,3,FALSE)</f>
        <v>1</v>
      </c>
      <c r="M32" s="11">
        <f>VLOOKUP(D32,$C$102:$E$106,3,FALSE)</f>
        <v>1</v>
      </c>
      <c r="N32" s="82" t="str">
        <f>IF(L32=M32,"",'12.lan'!$D$240&amp;VLOOKUP(L32,$C$102:$D$106,2,FALSE)&amp;" ("&amp;L32&amp;")")</f>
        <v/>
      </c>
      <c r="O32" s="11">
        <f>C104</f>
        <v>1</v>
      </c>
    </row>
    <row r="33" spans="1:15" ht="30" customHeight="1">
      <c r="A33" s="13"/>
      <c r="B33" s="21" t="s">
        <v>36</v>
      </c>
      <c r="C33" s="30" t="str">
        <f>'12.lan'!D132</f>
        <v>Gemeinwohlorientierte Veranlagung</v>
      </c>
      <c r="D33" s="84">
        <f>C104</f>
        <v>1</v>
      </c>
      <c r="E33" s="97" t="str">
        <f>VLOOKUP(D33,$C$102:$D$106,2,FALSE)</f>
        <v>mittel</v>
      </c>
      <c r="F33" s="86" t="str">
        <f>'12.lan'!$D$329</f>
        <v>Skalenwert eingeben: Wert muss im Bereich von 0 bis 10 liegen.</v>
      </c>
      <c r="G33" s="87"/>
      <c r="H33" s="88">
        <v>0</v>
      </c>
      <c r="I33" s="527">
        <f>IFERROR(J33*H33/10,0)</f>
        <v>0</v>
      </c>
      <c r="J33" s="89">
        <f>IFERROR($J$31*K33/($K$32+$K$33),0)</f>
        <v>25.641025641025639</v>
      </c>
      <c r="K33" s="11">
        <f>VLOOKUP(D33,$C$102:$E$106,3,FALSE)</f>
        <v>1</v>
      </c>
      <c r="L33" s="11">
        <f>VLOOKUP(O33,$C$102:$E$106,3,FALSE)</f>
        <v>1</v>
      </c>
      <c r="M33" s="11">
        <f>VLOOKUP(D33,$C$102:$E$106,3,FALSE)</f>
        <v>1</v>
      </c>
      <c r="N33" s="82" t="str">
        <f>IF(L33=M33,"",'12.lan'!$D$240&amp;VLOOKUP(L33,$C$102:$D$106,2,FALSE)&amp;" ("&amp;L33&amp;")")</f>
        <v/>
      </c>
      <c r="O33" s="11">
        <f>C104</f>
        <v>1</v>
      </c>
    </row>
    <row r="34" spans="1:15" ht="30" customHeight="1">
      <c r="A34" s="13"/>
      <c r="B34" s="21" t="s">
        <v>37</v>
      </c>
      <c r="C34" s="30" t="str">
        <f>'12.lan'!D133</f>
        <v>Negativ-Aspekt: Abhängigkeit von ökologisch bedenklichen Ressourcen</v>
      </c>
      <c r="D34" s="84"/>
      <c r="E34" s="97"/>
      <c r="F34" s="86" t="str">
        <f>'12.lan'!$D$330</f>
        <v>Negativpunkte eingeben: Werte müssen im Bereich von -200 bis 0 liegen.</v>
      </c>
      <c r="G34" s="87"/>
      <c r="H34" s="88">
        <v>0</v>
      </c>
      <c r="I34" s="527">
        <f>H34*J31/50</f>
        <v>0</v>
      </c>
      <c r="J34" s="89">
        <f>-200*J31/50</f>
        <v>-205.12820512820511</v>
      </c>
    </row>
    <row r="35" spans="1:15" ht="33" customHeight="1">
      <c r="A35" s="13"/>
      <c r="B35" s="75" t="s">
        <v>38</v>
      </c>
      <c r="C35" s="76" t="str">
        <f>'12.lan'!D134</f>
        <v>Eigentum und Mitentscheidung</v>
      </c>
      <c r="D35" s="77">
        <f>IF(K35="trifft nicht zu",C106,'9. Weighting'!P24)</f>
        <v>1</v>
      </c>
      <c r="E35" s="94" t="str">
        <f>VLOOKUP(D35,$C$102:$D$106,2,FALSE)</f>
        <v>mittel</v>
      </c>
      <c r="F35" s="90">
        <f>IF(K35="trifft nicht zu","trifft nicht zu",'9. Weighting'!P24)</f>
        <v>1</v>
      </c>
      <c r="G35" s="91"/>
      <c r="H35" s="80">
        <f>IF(J35&lt;&gt;0,SUM(I36:I37)/J35,"-")</f>
        <v>0</v>
      </c>
      <c r="I35" s="81">
        <f>IF(J35=0,0,H35*J35)</f>
        <v>0</v>
      </c>
      <c r="J35" s="81">
        <f>'9. Weighting'!P23</f>
        <v>51.282051282051277</v>
      </c>
      <c r="L35" s="11">
        <f>VLOOKUP(O35,$C$102:$E$106,3,FALSE)</f>
        <v>1</v>
      </c>
      <c r="M35" s="11">
        <f>VLOOKUP(D35,$C$102:$E$106,3,FALSE)</f>
        <v>1</v>
      </c>
      <c r="N35" s="82" t="str">
        <f>IF(L35=M35,"",'12.lan'!$D$240&amp;VLOOKUP(L35,$C$102:$D$106,2,FALSE)&amp;" ("&amp;L35&amp;")")</f>
        <v/>
      </c>
      <c r="O35" s="11">
        <f>IF(K35="trifft nicht zu",C106,'9. Weighting'!P24)</f>
        <v>1</v>
      </c>
    </row>
    <row r="36" spans="1:15" ht="30" customHeight="1">
      <c r="A36" s="13"/>
      <c r="B36" s="96" t="s">
        <v>39</v>
      </c>
      <c r="C36" s="83" t="str">
        <f>'12.lan'!D135</f>
        <v>Gemeinwohlorientierte Eigentumsstruktur</v>
      </c>
      <c r="D36" s="84"/>
      <c r="E36" s="97"/>
      <c r="F36" s="86" t="str">
        <f>'12.lan'!$D$329</f>
        <v>Skalenwert eingeben: Wert muss im Bereich von 0 bis 10 liegen.</v>
      </c>
      <c r="G36" s="87"/>
      <c r="H36" s="88">
        <v>0</v>
      </c>
      <c r="I36" s="527">
        <f>J36*H36/10</f>
        <v>0</v>
      </c>
      <c r="J36" s="89">
        <f>$J$35*K36/(K36)</f>
        <v>51.282051282051277</v>
      </c>
      <c r="K36" s="11">
        <v>1</v>
      </c>
    </row>
    <row r="37" spans="1:15" ht="30" customHeight="1">
      <c r="A37" s="13"/>
      <c r="B37" s="21" t="s">
        <v>40</v>
      </c>
      <c r="C37" s="30" t="str">
        <f>'12.lan'!D136</f>
        <v>Negativ-Aspekt: Feindliche Übernahme</v>
      </c>
      <c r="D37" s="84"/>
      <c r="E37" s="97"/>
      <c r="F37" s="86" t="str">
        <f>'12.lan'!$D$330</f>
        <v>Negativpunkte eingeben: Werte müssen im Bereich von -200 bis 0 liegen.</v>
      </c>
      <c r="G37" s="87"/>
      <c r="H37" s="88">
        <v>0</v>
      </c>
      <c r="I37" s="527">
        <f>H37*J35/50</f>
        <v>0</v>
      </c>
      <c r="J37" s="89">
        <f>-200*J35/50</f>
        <v>-205.12820512820511</v>
      </c>
    </row>
    <row r="38" spans="1:15" ht="36" customHeight="1">
      <c r="A38" s="13"/>
      <c r="B38" s="71" t="s">
        <v>41</v>
      </c>
      <c r="C38" s="71" t="str">
        <f>'12.lan'!D137</f>
        <v>Mitarbeitende</v>
      </c>
      <c r="D38" s="92">
        <f>L38</f>
        <v>1</v>
      </c>
      <c r="E38" s="513" t="str">
        <f>VLOOKUP(D38,$C$102:$D$106,2,FALSE)</f>
        <v>mittel</v>
      </c>
      <c r="F38" s="93"/>
      <c r="G38" s="93"/>
      <c r="H38" s="72">
        <f>IFERROR(I38/J38,0)</f>
        <v>0</v>
      </c>
      <c r="I38" s="73">
        <f>I39+I44+I49+I54</f>
        <v>0</v>
      </c>
      <c r="J38" s="73">
        <f>J39+J44+J49+J54</f>
        <v>205.12820512820511</v>
      </c>
      <c r="L38" s="11">
        <f>'9. Weighting'!K51</f>
        <v>1</v>
      </c>
      <c r="N38" s="510" t="str">
        <f>IF(D38&lt;&gt;L38,'12.lan'!$D$240&amp;VLOOKUP(L38,$C$102:$D$106,2,FALSE)&amp;" ("&amp;L38&amp;")","")</f>
        <v/>
      </c>
    </row>
    <row r="39" spans="1:15" ht="32.25" customHeight="1">
      <c r="A39" s="13"/>
      <c r="B39" s="75" t="s">
        <v>42</v>
      </c>
      <c r="C39" s="76" t="str">
        <f>'12.lan'!D138</f>
        <v>Menschenwürde am Arbeitsplatz</v>
      </c>
      <c r="D39" s="77">
        <v>1</v>
      </c>
      <c r="E39" s="94" t="str">
        <f>VLOOKUP(D39,$C$102:$D$106,2,FALSE)</f>
        <v>mittel</v>
      </c>
      <c r="F39" s="90">
        <f>IF(K39="trifft nicht zu","trifft nicht zu",'9. Weighting'!M30)</f>
        <v>1</v>
      </c>
      <c r="G39" s="91"/>
      <c r="H39" s="80">
        <f>IF(J39&lt;&gt;0,SUM(I40:I43)/J39,"-")</f>
        <v>0</v>
      </c>
      <c r="I39" s="81">
        <f>IF(J39=0,0,H39*J39)</f>
        <v>0</v>
      </c>
      <c r="J39" s="81">
        <f>'9. Weighting'!M29</f>
        <v>51.282051282051277</v>
      </c>
      <c r="K39" s="63" t="str">
        <f>IF(AND(D40="trifft nicht zu",D41="trifft nicht zu",,D42="trifft nicht zu"),"trifft nicht zu","")</f>
        <v/>
      </c>
      <c r="L39" s="11">
        <f>VLOOKUP(O39,$C$102:$E$106,3,FALSE)</f>
        <v>1</v>
      </c>
      <c r="M39" s="11">
        <f>VLOOKUP(D39,$C$102:$E$106,3,FALSE)</f>
        <v>1</v>
      </c>
      <c r="N39" s="82" t="str">
        <f>IF(L39=M39,"",'12.lan'!$D$240&amp;VLOOKUP(L39,$C$102:$D$106,2,FALSE)&amp;" ("&amp;L39&amp;")")</f>
        <v/>
      </c>
      <c r="O39" s="11">
        <f>IF(K39="trifft nicht zu",C106,'9. Weighting'!M30)</f>
        <v>1</v>
      </c>
    </row>
    <row r="40" spans="1:15" ht="30" customHeight="1">
      <c r="A40" s="13"/>
      <c r="B40" s="83" t="s">
        <v>43</v>
      </c>
      <c r="C40" s="83" t="str">
        <f>'12.lan'!D139</f>
        <v>Mitarbeiterorientierte Unternehmenskultur</v>
      </c>
      <c r="D40" s="84">
        <f>C104</f>
        <v>1</v>
      </c>
      <c r="E40" s="97" t="str">
        <f>VLOOKUP(D40,$C$102:$D$106,2,FALSE)</f>
        <v>mittel</v>
      </c>
      <c r="F40" s="86" t="str">
        <f>'12.lan'!$D$329</f>
        <v>Skalenwert eingeben: Wert muss im Bereich von 0 bis 10 liegen.</v>
      </c>
      <c r="G40" s="87"/>
      <c r="H40" s="88">
        <v>0</v>
      </c>
      <c r="I40" s="527">
        <f>IFERROR(J40*H40/10,0)</f>
        <v>0</v>
      </c>
      <c r="J40" s="89">
        <f>IFERROR($J$39*K40/(SUM($K$40:$K$42)),0)</f>
        <v>17.094017094017094</v>
      </c>
      <c r="K40" s="11">
        <f>VLOOKUP(D40,$C$102:$E$106,3,FALSE)</f>
        <v>1</v>
      </c>
      <c r="L40" s="11">
        <f>VLOOKUP(O40,$C$102:$E$106,3,FALSE)</f>
        <v>1</v>
      </c>
      <c r="M40" s="11">
        <f>VLOOKUP(D40,$C$102:$E$106,3,FALSE)</f>
        <v>1</v>
      </c>
      <c r="N40" s="82" t="str">
        <f>IF(L40=M40,"",'12.lan'!$D$240&amp;VLOOKUP(L40,$C$102:$D$106,2,FALSE)&amp;" ("&amp;L40&amp;")")</f>
        <v/>
      </c>
      <c r="O40" s="11">
        <f>C104</f>
        <v>1</v>
      </c>
    </row>
    <row r="41" spans="1:15" ht="30" customHeight="1">
      <c r="A41" s="13"/>
      <c r="B41" s="30" t="s">
        <v>44</v>
      </c>
      <c r="C41" s="30" t="str">
        <f>'12.lan'!D140</f>
        <v>Gesundheitsförderung und Arbeitsschutz</v>
      </c>
      <c r="D41" s="84">
        <f>C104</f>
        <v>1</v>
      </c>
      <c r="E41" s="97" t="str">
        <f>VLOOKUP(D41,$C$102:$D$106,2,FALSE)</f>
        <v>mittel</v>
      </c>
      <c r="F41" s="86" t="str">
        <f>'12.lan'!$D$329</f>
        <v>Skalenwert eingeben: Wert muss im Bereich von 0 bis 10 liegen.</v>
      </c>
      <c r="G41" s="87"/>
      <c r="H41" s="88">
        <v>0</v>
      </c>
      <c r="I41" s="527">
        <f>IFERROR(J41*H41/10,0)</f>
        <v>0</v>
      </c>
      <c r="J41" s="89">
        <f>IFERROR($J$39*K41/(SUM($K$40:$K$42)),0)</f>
        <v>17.094017094017094</v>
      </c>
      <c r="K41" s="11">
        <f>VLOOKUP(D41,$C$102:$E$106,3,FALSE)</f>
        <v>1</v>
      </c>
      <c r="L41" s="11">
        <f>VLOOKUP(O41,$C$102:$E$106,3,FALSE)</f>
        <v>1</v>
      </c>
      <c r="M41" s="11">
        <f>VLOOKUP(D41,$C$102:$E$106,3,FALSE)</f>
        <v>1</v>
      </c>
      <c r="N41" s="82" t="str">
        <f>IF(L41=M41,"",'12.lan'!$D$240&amp;VLOOKUP(L41,$C$102:$D$106,2,FALSE)&amp;" ("&amp;L41&amp;")")</f>
        <v/>
      </c>
      <c r="O41" s="11">
        <f>C104</f>
        <v>1</v>
      </c>
    </row>
    <row r="42" spans="1:15" ht="30" customHeight="1">
      <c r="A42" s="13"/>
      <c r="B42" s="30" t="s">
        <v>45</v>
      </c>
      <c r="C42" s="30" t="str">
        <f>'12.lan'!D141</f>
        <v>Diversität und Chancengleichheit</v>
      </c>
      <c r="D42" s="84">
        <f>C104</f>
        <v>1</v>
      </c>
      <c r="E42" s="97" t="str">
        <f>VLOOKUP(D42,$C$102:$D$106,2,FALSE)</f>
        <v>mittel</v>
      </c>
      <c r="F42" s="86" t="str">
        <f>'12.lan'!$D$329</f>
        <v>Skalenwert eingeben: Wert muss im Bereich von 0 bis 10 liegen.</v>
      </c>
      <c r="G42" s="87"/>
      <c r="H42" s="88">
        <v>0</v>
      </c>
      <c r="I42" s="527">
        <f>IFERROR(J42*H42/10,0)</f>
        <v>0</v>
      </c>
      <c r="J42" s="89">
        <f>IFERROR($J$39*K42/(SUM($K$40:$K$42)),0)</f>
        <v>17.094017094017094</v>
      </c>
      <c r="K42" s="11">
        <f>VLOOKUP(D42,$C$102:$E$106,3,FALSE)</f>
        <v>1</v>
      </c>
      <c r="L42" s="11">
        <f>VLOOKUP(O42,$C$102:$E$106,3,FALSE)</f>
        <v>1</v>
      </c>
      <c r="M42" s="11">
        <f>VLOOKUP(D42,$C$102:$E$106,3,FALSE)</f>
        <v>1</v>
      </c>
      <c r="N42" s="82" t="str">
        <f>IF(L42=M42,"",'12.lan'!$D$240&amp;VLOOKUP(L42,$C$102:$D$106,2,FALSE)&amp;" ("&amp;L42&amp;")")</f>
        <v/>
      </c>
      <c r="O42" s="11">
        <f>C104</f>
        <v>1</v>
      </c>
    </row>
    <row r="43" spans="1:15" ht="30" customHeight="1">
      <c r="A43" s="13"/>
      <c r="B43" s="100" t="s">
        <v>46</v>
      </c>
      <c r="C43" s="100" t="str">
        <f>'12.lan'!D142</f>
        <v>Negativ-Aspekt: Menschenunwürdige Arbeitsbedingungen</v>
      </c>
      <c r="D43" s="84"/>
      <c r="E43" s="97"/>
      <c r="F43" s="86" t="str">
        <f>'12.lan'!$D$330</f>
        <v>Negativpunkte eingeben: Werte müssen im Bereich von -200 bis 0 liegen.</v>
      </c>
      <c r="G43" s="87"/>
      <c r="H43" s="88">
        <v>0</v>
      </c>
      <c r="I43" s="527">
        <f>H43*J39/50</f>
        <v>0</v>
      </c>
      <c r="J43" s="89">
        <f>-200*J39/50</f>
        <v>-205.12820512820511</v>
      </c>
    </row>
    <row r="44" spans="1:15" ht="33" customHeight="1">
      <c r="A44" s="13"/>
      <c r="B44" s="75" t="s">
        <v>47</v>
      </c>
      <c r="C44" s="76" t="str">
        <f>'12.lan'!D143</f>
        <v>Ausgestaltung der Arbeitsverträge</v>
      </c>
      <c r="D44" s="77">
        <f>IF(K44="trifft nicht zu",C106,'9. Weighting'!N30)</f>
        <v>1</v>
      </c>
      <c r="E44" s="94" t="str">
        <f>VLOOKUP(D44,$C$102:$D$106,2,FALSE)</f>
        <v>mittel</v>
      </c>
      <c r="F44" s="90">
        <f>IF(K44="trifft nicht zu","trifft nicht zu",'9. Weighting'!N30)</f>
        <v>1</v>
      </c>
      <c r="G44" s="91"/>
      <c r="H44" s="80">
        <f>IF(J44&lt;&gt;0,SUM(I45:I48)/J44,"-")</f>
        <v>0</v>
      </c>
      <c r="I44" s="81">
        <f>IF(J44=0,0,H44*J44)</f>
        <v>0</v>
      </c>
      <c r="J44" s="81">
        <f>'9. Weighting'!N29</f>
        <v>51.282051282051277</v>
      </c>
      <c r="K44" s="63" t="str">
        <f>IF(AND(D45="trifft nicht zu",D46="trifft nicht zu",,D47="trifft nicht zu"),"trifft nicht zu","")</f>
        <v/>
      </c>
      <c r="L44" s="11">
        <f>VLOOKUP(O44,$C$102:$E$106,3,FALSE)</f>
        <v>1</v>
      </c>
      <c r="M44" s="11">
        <f>VLOOKUP(D44,$C$102:$E$106,3,FALSE)</f>
        <v>1</v>
      </c>
      <c r="N44" s="82" t="str">
        <f>IF(L44=M44,"",'12.lan'!$D$240&amp;VLOOKUP(L44,$C$102:$D$106,2,FALSE)&amp;" ("&amp;L44&amp;")")</f>
        <v/>
      </c>
      <c r="O44" s="11">
        <f>IF(K44="trifft nicht zu",C106,'9. Weighting'!N30)</f>
        <v>1</v>
      </c>
    </row>
    <row r="45" spans="1:15" ht="30" customHeight="1">
      <c r="A45" s="13"/>
      <c r="B45" s="96" t="s">
        <v>48</v>
      </c>
      <c r="C45" s="83" t="str">
        <f>'12.lan'!D144</f>
        <v>Ausgestaltung des Verdienstes</v>
      </c>
      <c r="D45" s="84">
        <f>C104</f>
        <v>1</v>
      </c>
      <c r="E45" s="97" t="str">
        <f>VLOOKUP(D45,$C$102:$D$106,2,FALSE)</f>
        <v>mittel</v>
      </c>
      <c r="F45" s="86" t="str">
        <f>'12.lan'!$D$329</f>
        <v>Skalenwert eingeben: Wert muss im Bereich von 0 bis 10 liegen.</v>
      </c>
      <c r="G45" s="87"/>
      <c r="H45" s="88">
        <v>0</v>
      </c>
      <c r="I45" s="527">
        <f>IFERROR(J45*H45/10,0)</f>
        <v>0</v>
      </c>
      <c r="J45" s="89">
        <f>IFERROR($J$44*K45/(SUM($K$45:$K$47)),0)</f>
        <v>17.094017094017094</v>
      </c>
      <c r="K45" s="11">
        <f>VLOOKUP(D45,$C$102:$E$106,3,FALSE)</f>
        <v>1</v>
      </c>
      <c r="L45" s="11">
        <f>VLOOKUP(O45,$C$102:$E$106,3,FALSE)</f>
        <v>1</v>
      </c>
      <c r="M45" s="11">
        <f>VLOOKUP(D45,$C$102:$E$106,3,FALSE)</f>
        <v>1</v>
      </c>
      <c r="N45" s="82" t="str">
        <f>IF(L45=M45,"",'12.lan'!$D$240&amp;VLOOKUP(L45,$C$102:$D$106,2,FALSE)&amp;" ("&amp;L45&amp;")")</f>
        <v/>
      </c>
      <c r="O45" s="11">
        <f>C104</f>
        <v>1</v>
      </c>
    </row>
    <row r="46" spans="1:15" ht="30" customHeight="1">
      <c r="A46" s="13"/>
      <c r="B46" s="21" t="s">
        <v>49</v>
      </c>
      <c r="C46" s="30" t="str">
        <f>'12.lan'!D145</f>
        <v>Ausgestaltung der Arbeitszeit</v>
      </c>
      <c r="D46" s="84">
        <f>C104</f>
        <v>1</v>
      </c>
      <c r="E46" s="97" t="str">
        <f>VLOOKUP(D46,$C$102:$D$106,2,FALSE)</f>
        <v>mittel</v>
      </c>
      <c r="F46" s="86" t="str">
        <f>'12.lan'!$D$329</f>
        <v>Skalenwert eingeben: Wert muss im Bereich von 0 bis 10 liegen.</v>
      </c>
      <c r="G46" s="87"/>
      <c r="H46" s="88">
        <v>0</v>
      </c>
      <c r="I46" s="527">
        <f>IFERROR(J46*H46/10,0)</f>
        <v>0</v>
      </c>
      <c r="J46" s="89">
        <f>IFERROR($J$44*K46/(SUM($K$45:$K$47)),0)</f>
        <v>17.094017094017094</v>
      </c>
      <c r="K46" s="11">
        <f>VLOOKUP(D46,$C$102:$E$106,3,FALSE)</f>
        <v>1</v>
      </c>
      <c r="L46" s="11">
        <f>VLOOKUP(O46,$C$102:$E$106,3,FALSE)</f>
        <v>1</v>
      </c>
      <c r="M46" s="11">
        <f>VLOOKUP(D46,$C$102:$E$106,3,FALSE)</f>
        <v>1</v>
      </c>
      <c r="N46" s="82" t="str">
        <f>IF(L46=M46,"",'12.lan'!$D$240&amp;VLOOKUP(L46,$C$102:$D$106,2,FALSE)&amp;" ("&amp;L46&amp;")")</f>
        <v/>
      </c>
      <c r="O46" s="11">
        <f>C104</f>
        <v>1</v>
      </c>
    </row>
    <row r="47" spans="1:15" ht="33" customHeight="1">
      <c r="A47" s="13"/>
      <c r="B47" s="101" t="s">
        <v>50</v>
      </c>
      <c r="C47" s="100" t="str">
        <f>'12.lan'!D146</f>
        <v>Ausgestaltung des Arbeitsverhältnisses und Work-Life-Balance</v>
      </c>
      <c r="D47" s="84">
        <f>C104</f>
        <v>1</v>
      </c>
      <c r="E47" s="97" t="str">
        <f>VLOOKUP(D47,$C$102:$D$106,2,FALSE)</f>
        <v>mittel</v>
      </c>
      <c r="F47" s="86" t="str">
        <f>'12.lan'!$D$329</f>
        <v>Skalenwert eingeben: Wert muss im Bereich von 0 bis 10 liegen.</v>
      </c>
      <c r="G47" s="87"/>
      <c r="H47" s="88">
        <v>0</v>
      </c>
      <c r="I47" s="527">
        <f>IFERROR(J47*H47/10,0)</f>
        <v>0</v>
      </c>
      <c r="J47" s="89">
        <f>IFERROR($J$44*K47/(SUM($K$45:$K$47)),0)</f>
        <v>17.094017094017094</v>
      </c>
      <c r="K47" s="11">
        <f>VLOOKUP(D47,$C$102:$E$106,3,FALSE)</f>
        <v>1</v>
      </c>
      <c r="L47" s="11">
        <f>VLOOKUP(O47,$C$102:$E$106,3,FALSE)</f>
        <v>1</v>
      </c>
      <c r="M47" s="11">
        <f>VLOOKUP(D47,$C$102:$E$106,3,FALSE)</f>
        <v>1</v>
      </c>
      <c r="N47" s="82" t="str">
        <f>IF(L47=M47,"",'12.lan'!$D$240&amp;VLOOKUP(L47,$C$102:$D$106,2,FALSE)&amp;" ("&amp;L47&amp;")")</f>
        <v/>
      </c>
      <c r="O47" s="11">
        <f>C104</f>
        <v>1</v>
      </c>
    </row>
    <row r="48" spans="1:15" ht="33" customHeight="1">
      <c r="A48" s="13"/>
      <c r="B48" s="101" t="s">
        <v>51</v>
      </c>
      <c r="C48" s="100" t="str">
        <f>'12.lan'!D147</f>
        <v>Negativ-Aspekt: Ungerechte Ausgestaltung der Arbeitsverträge</v>
      </c>
      <c r="D48" s="84"/>
      <c r="E48" s="97"/>
      <c r="F48" s="86" t="str">
        <f>'12.lan'!$D$330</f>
        <v>Negativpunkte eingeben: Werte müssen im Bereich von -200 bis 0 liegen.</v>
      </c>
      <c r="G48" s="87"/>
      <c r="H48" s="88">
        <v>0</v>
      </c>
      <c r="I48" s="527">
        <f>H48*J44/50</f>
        <v>0</v>
      </c>
      <c r="J48" s="89">
        <f>-200*J44/50</f>
        <v>-205.12820512820511</v>
      </c>
    </row>
    <row r="49" spans="1:15" ht="33" customHeight="1">
      <c r="A49" s="13"/>
      <c r="B49" s="75" t="s">
        <v>52</v>
      </c>
      <c r="C49" s="76" t="str">
        <f>'12.lan'!D148</f>
        <v>Förderung des ökologischen Verhaltens der Mitarbeitenden</v>
      </c>
      <c r="D49" s="77">
        <v>1</v>
      </c>
      <c r="E49" s="94" t="str">
        <f>VLOOKUP(D49,$C$102:$D$106,2,FALSE)</f>
        <v>mittel</v>
      </c>
      <c r="F49" s="90">
        <f>IF(K49="trifft nicht zu","trifft nicht zu",'9. Weighting'!O30)</f>
        <v>1</v>
      </c>
      <c r="G49" s="91"/>
      <c r="H49" s="80">
        <f>IF(J49&lt;&gt;0,SUM(I50:I53)/J49,"-")</f>
        <v>0</v>
      </c>
      <c r="I49" s="81">
        <f>IF(J49=0,0,H49*J49)</f>
        <v>0</v>
      </c>
      <c r="J49" s="81">
        <f>'9. Weighting'!O29</f>
        <v>51.282051282051277</v>
      </c>
      <c r="K49" s="63" t="str">
        <f>IF(AND(D50="trifft nicht zu",D51="trifft nicht zu",,D52="trifft nicht zu"),"trifft nicht zu","")</f>
        <v/>
      </c>
      <c r="L49" s="11">
        <f>VLOOKUP(O49,$C$102:$E$106,3,FALSE)</f>
        <v>1</v>
      </c>
      <c r="M49" s="11">
        <f>VLOOKUP(D49,$C$102:$E$106,3,FALSE)</f>
        <v>1</v>
      </c>
      <c r="N49" s="82" t="str">
        <f>IF(L49=M49,"",'12.lan'!$D$240&amp;VLOOKUP(L49,$C$102:$D$106,2,FALSE)&amp;" ("&amp;L49&amp;")")</f>
        <v/>
      </c>
      <c r="O49" s="11">
        <f>IF(K49="trifft nicht zu",C106,'9. Weighting'!O30)</f>
        <v>1</v>
      </c>
    </row>
    <row r="50" spans="1:15" ht="30" customHeight="1">
      <c r="A50" s="13"/>
      <c r="B50" s="96" t="s">
        <v>53</v>
      </c>
      <c r="C50" s="83" t="str">
        <f>'12.lan'!D149</f>
        <v>Ernährung während der Arbeitszeit</v>
      </c>
      <c r="D50" s="84">
        <f>C104</f>
        <v>1</v>
      </c>
      <c r="E50" s="97" t="str">
        <f>VLOOKUP(D50,$C$102:$D$106,2,FALSE)</f>
        <v>mittel</v>
      </c>
      <c r="F50" s="86" t="str">
        <f>'12.lan'!$D$329</f>
        <v>Skalenwert eingeben: Wert muss im Bereich von 0 bis 10 liegen.</v>
      </c>
      <c r="G50" s="87"/>
      <c r="H50" s="88">
        <v>0</v>
      </c>
      <c r="I50" s="527">
        <f>IFERROR(J50*H50/10,0)</f>
        <v>0</v>
      </c>
      <c r="J50" s="89">
        <f>IFERROR($J$49*K50/(SUM($K$50:$K$52)),0)</f>
        <v>17.094017094017094</v>
      </c>
      <c r="K50" s="11">
        <f>VLOOKUP(D50,$C$102:$E$106,3,FALSE)</f>
        <v>1</v>
      </c>
      <c r="L50" s="11">
        <f>VLOOKUP(O50,$C$102:$E$106,3,FALSE)</f>
        <v>1</v>
      </c>
      <c r="M50" s="11">
        <f>VLOOKUP(D50,$C$102:$E$106,3,FALSE)</f>
        <v>1</v>
      </c>
      <c r="N50" s="82" t="str">
        <f>IF(L50=M50,"",'12.lan'!$D$240&amp;VLOOKUP(L50,$C$102:$D$106,2,FALSE)&amp;" ("&amp;L50&amp;")")</f>
        <v/>
      </c>
      <c r="O50" s="11">
        <f>C104</f>
        <v>1</v>
      </c>
    </row>
    <row r="51" spans="1:15" ht="30" customHeight="1">
      <c r="A51" s="13"/>
      <c r="B51" s="21" t="s">
        <v>54</v>
      </c>
      <c r="C51" s="30" t="str">
        <f>'12.lan'!D150</f>
        <v>Mobilität zum Arbeitsplatz</v>
      </c>
      <c r="D51" s="84">
        <f>C104</f>
        <v>1</v>
      </c>
      <c r="E51" s="97" t="str">
        <f>VLOOKUP(D51,$C$102:$D$106,2,FALSE)</f>
        <v>mittel</v>
      </c>
      <c r="F51" s="86" t="str">
        <f>'12.lan'!$D$329</f>
        <v>Skalenwert eingeben: Wert muss im Bereich von 0 bis 10 liegen.</v>
      </c>
      <c r="G51" s="87"/>
      <c r="H51" s="88">
        <v>0</v>
      </c>
      <c r="I51" s="527">
        <f>IFERROR(J51*H51/10,0)</f>
        <v>0</v>
      </c>
      <c r="J51" s="89">
        <f>IFERROR($J$49*K51/(SUM($K$50:$K$52)),0)</f>
        <v>17.094017094017094</v>
      </c>
      <c r="K51" s="11">
        <f>VLOOKUP(D51,$C$102:$E$106,3,FALSE)</f>
        <v>1</v>
      </c>
      <c r="L51" s="11">
        <f>VLOOKUP(O51,$C$102:$E$106,3,FALSE)</f>
        <v>1</v>
      </c>
      <c r="M51" s="11">
        <f>VLOOKUP(D51,$C$102:$E$106,3,FALSE)</f>
        <v>1</v>
      </c>
      <c r="N51" s="82" t="str">
        <f>IF(L51=M51,"",'12.lan'!$D$240&amp;VLOOKUP(L51,$C$102:$D$106,2,FALSE)&amp;" ("&amp;L51&amp;")")</f>
        <v/>
      </c>
      <c r="O51" s="11">
        <f>C104</f>
        <v>1</v>
      </c>
    </row>
    <row r="52" spans="1:15" ht="30" customHeight="1">
      <c r="A52" s="13"/>
      <c r="B52" s="101" t="s">
        <v>55</v>
      </c>
      <c r="C52" s="100" t="str">
        <f>'12.lan'!D151</f>
        <v>Organisationskultur, Sensibilisierung und unternehmensinterne Prozesse</v>
      </c>
      <c r="D52" s="84">
        <f>C104</f>
        <v>1</v>
      </c>
      <c r="E52" s="97" t="str">
        <f>VLOOKUP(D52,$C$102:$D$106,2,FALSE)</f>
        <v>mittel</v>
      </c>
      <c r="F52" s="86" t="str">
        <f>'12.lan'!$D$329</f>
        <v>Skalenwert eingeben: Wert muss im Bereich von 0 bis 10 liegen.</v>
      </c>
      <c r="G52" s="87"/>
      <c r="H52" s="88">
        <v>0</v>
      </c>
      <c r="I52" s="527">
        <f>IFERROR(J52*H52/10,0)</f>
        <v>0</v>
      </c>
      <c r="J52" s="89">
        <f>IFERROR($J$49*K52/(SUM($K$50:$K$52)),0)</f>
        <v>17.094017094017094</v>
      </c>
      <c r="K52" s="11">
        <f>VLOOKUP(D52,$C$102:$E$106,3,FALSE)</f>
        <v>1</v>
      </c>
      <c r="L52" s="11">
        <f>VLOOKUP(O52,$C$102:$E$106,3,FALSE)</f>
        <v>1</v>
      </c>
      <c r="M52" s="11">
        <f>VLOOKUP(D52,$C$102:$E$106,3,FALSE)</f>
        <v>1</v>
      </c>
      <c r="N52" s="82" t="str">
        <f>IF(L52=M52,"",'12.lan'!$D$240&amp;VLOOKUP(L52,$C$102:$D$106,2,FALSE)&amp;" ("&amp;L52&amp;")")</f>
        <v/>
      </c>
      <c r="O52" s="11">
        <f>C104</f>
        <v>1</v>
      </c>
    </row>
    <row r="53" spans="1:15" ht="33.75" customHeight="1">
      <c r="A53" s="13"/>
      <c r="B53" s="101" t="s">
        <v>56</v>
      </c>
      <c r="C53" s="100" t="str">
        <f>'12.lan'!D152</f>
        <v>Negativ-Aspekt: Anleitung zur Verschwendung / Duldung unökologischen Verhaltens</v>
      </c>
      <c r="D53" s="84"/>
      <c r="E53" s="97"/>
      <c r="F53" s="86" t="str">
        <f>'12.lan'!$D$330</f>
        <v>Negativpunkte eingeben: Werte müssen im Bereich von -200 bis 0 liegen.</v>
      </c>
      <c r="G53" s="87"/>
      <c r="H53" s="88">
        <v>0</v>
      </c>
      <c r="I53" s="527">
        <f>H53*J49/50</f>
        <v>0</v>
      </c>
      <c r="J53" s="89">
        <f>-200*J49/50</f>
        <v>-205.12820512820511</v>
      </c>
    </row>
    <row r="54" spans="1:15" ht="33" customHeight="1">
      <c r="A54" s="13"/>
      <c r="B54" s="75" t="s">
        <v>57</v>
      </c>
      <c r="C54" s="76" t="str">
        <f>'12.lan'!D153</f>
        <v>Innerbetriebliche Mitentscheidung und Transparenz</v>
      </c>
      <c r="D54" s="77">
        <f>IF(K54="trifft nicht zu",C106,'9. Weighting'!P30)</f>
        <v>1</v>
      </c>
      <c r="E54" s="94" t="str">
        <f>VLOOKUP(D54,$C$102:$D$106,2,FALSE)</f>
        <v>mittel</v>
      </c>
      <c r="F54" s="90">
        <f>IF(K54="trifft nicht zu","trifft nicht zu",'9. Weighting'!P30)</f>
        <v>1</v>
      </c>
      <c r="G54" s="91"/>
      <c r="H54" s="80">
        <f>IF(J54&lt;&gt;0,SUM(I55:I58)/J54,"-")</f>
        <v>0</v>
      </c>
      <c r="I54" s="81">
        <f>IF(J54=0,0,H54*J54)</f>
        <v>0</v>
      </c>
      <c r="J54" s="81">
        <f>'9. Weighting'!P29</f>
        <v>51.282051282051277</v>
      </c>
      <c r="K54" s="63" t="str">
        <f>IF(AND(D55="trifft nicht zu",D56="trifft nicht zu",,D57="trifft nicht zu"),"trifft nicht zu","")</f>
        <v/>
      </c>
      <c r="L54" s="11">
        <f>VLOOKUP(O54,$C$102:$E$106,3,FALSE)</f>
        <v>1</v>
      </c>
      <c r="M54" s="11">
        <f>VLOOKUP(D54,$C$102:$E$106,3,FALSE)</f>
        <v>1</v>
      </c>
      <c r="N54" s="82" t="str">
        <f>IF(L54=M54,"",'12.lan'!$D$240&amp;VLOOKUP(L54,$C$102:$D$106,2,FALSE)&amp;" ("&amp;L54&amp;")")</f>
        <v/>
      </c>
      <c r="O54" s="11">
        <f>IF(K54="trifft nicht zu",C106,'9. Weighting'!P30)</f>
        <v>1</v>
      </c>
    </row>
    <row r="55" spans="1:15" ht="30" customHeight="1">
      <c r="A55" s="13"/>
      <c r="B55" s="96" t="s">
        <v>58</v>
      </c>
      <c r="C55" s="83" t="str">
        <f>'12.lan'!D154</f>
        <v>Innerbetriebliche Transparenz</v>
      </c>
      <c r="D55" s="84">
        <f>C104</f>
        <v>1</v>
      </c>
      <c r="E55" s="97" t="str">
        <f>VLOOKUP(D55,$C$102:$D$106,2,FALSE)</f>
        <v>mittel</v>
      </c>
      <c r="F55" s="86" t="str">
        <f>'12.lan'!$D$329</f>
        <v>Skalenwert eingeben: Wert muss im Bereich von 0 bis 10 liegen.</v>
      </c>
      <c r="G55" s="87"/>
      <c r="H55" s="88">
        <v>0</v>
      </c>
      <c r="I55" s="527">
        <f>IFERROR(J55*H55/10,0)</f>
        <v>0</v>
      </c>
      <c r="J55" s="89">
        <f>IFERROR($J$54*K55/(SUM($K$55:$K$57)),0)</f>
        <v>17.094017094017094</v>
      </c>
      <c r="K55" s="11">
        <f>VLOOKUP(D55,$C$102:$E$106,3,FALSE)</f>
        <v>1</v>
      </c>
      <c r="L55" s="11">
        <f>VLOOKUP(O55,$C$102:$E$106,3,FALSE)</f>
        <v>1</v>
      </c>
      <c r="M55" s="11">
        <f>VLOOKUP(D55,$C$102:$E$106,3,FALSE)</f>
        <v>1</v>
      </c>
      <c r="N55" s="82" t="str">
        <f>IF(L55=M55,"",'12.lan'!$D$240&amp;VLOOKUP(L55,$C$102:$D$106,2,FALSE)&amp;" ("&amp;L55&amp;")")</f>
        <v/>
      </c>
      <c r="O55" s="11">
        <f>C104</f>
        <v>1</v>
      </c>
    </row>
    <row r="56" spans="1:15" ht="30" customHeight="1">
      <c r="A56" s="13"/>
      <c r="B56" s="21" t="s">
        <v>59</v>
      </c>
      <c r="C56" s="30" t="str">
        <f>'12.lan'!D155</f>
        <v>Legitimierung der Führungskräfte</v>
      </c>
      <c r="D56" s="84">
        <f>C104</f>
        <v>1</v>
      </c>
      <c r="E56" s="97" t="str">
        <f>VLOOKUP(D56,$C$102:$D$106,2,FALSE)</f>
        <v>mittel</v>
      </c>
      <c r="F56" s="86" t="str">
        <f>'12.lan'!$D$329</f>
        <v>Skalenwert eingeben: Wert muss im Bereich von 0 bis 10 liegen.</v>
      </c>
      <c r="G56" s="87"/>
      <c r="H56" s="88">
        <v>0</v>
      </c>
      <c r="I56" s="527">
        <f>IFERROR(J56*H56/10,0)</f>
        <v>0</v>
      </c>
      <c r="J56" s="89">
        <f>IFERROR($J$54*K56/(SUM($K$55:$K$57)),0)</f>
        <v>17.094017094017094</v>
      </c>
      <c r="K56" s="11">
        <f>VLOOKUP(D56,$C$102:$E$106,3,FALSE)</f>
        <v>1</v>
      </c>
      <c r="L56" s="11">
        <f>VLOOKUP(O56,$C$102:$E$106,3,FALSE)</f>
        <v>1</v>
      </c>
      <c r="M56" s="11">
        <f>VLOOKUP(D56,$C$102:$E$106,3,FALSE)</f>
        <v>1</v>
      </c>
      <c r="N56" s="82" t="str">
        <f>IF(L56=M56,"",'12.lan'!$D$240&amp;VLOOKUP(L56,$C$102:$D$106,2,FALSE)&amp;" ("&amp;L56&amp;")")</f>
        <v/>
      </c>
      <c r="O56" s="11">
        <f>C104</f>
        <v>1</v>
      </c>
    </row>
    <row r="57" spans="1:15" ht="30" customHeight="1">
      <c r="A57" s="13"/>
      <c r="B57" s="21" t="s">
        <v>60</v>
      </c>
      <c r="C57" s="30" t="str">
        <f>'12.lan'!D156</f>
        <v>Mitentscheidung der Mitarbeitenden</v>
      </c>
      <c r="D57" s="84">
        <f>C104</f>
        <v>1</v>
      </c>
      <c r="E57" s="97" t="str">
        <f>VLOOKUP(D57,$C$102:$D$106,2,FALSE)</f>
        <v>mittel</v>
      </c>
      <c r="F57" s="86" t="str">
        <f>'12.lan'!$D$329</f>
        <v>Skalenwert eingeben: Wert muss im Bereich von 0 bis 10 liegen.</v>
      </c>
      <c r="G57" s="87"/>
      <c r="H57" s="88">
        <v>0</v>
      </c>
      <c r="I57" s="527">
        <f>IFERROR(J57*H57/10,0)</f>
        <v>0</v>
      </c>
      <c r="J57" s="89">
        <f>IFERROR($J$54*K57/(SUM($K$55:$K$57)),0)</f>
        <v>17.094017094017094</v>
      </c>
      <c r="K57" s="11">
        <f>VLOOKUP(D57,$C$102:$E$106,3,FALSE)</f>
        <v>1</v>
      </c>
      <c r="L57" s="11">
        <f>VLOOKUP(O57,$C$102:$E$106,3,FALSE)</f>
        <v>1</v>
      </c>
      <c r="M57" s="11">
        <f>VLOOKUP(D57,$C$102:$E$106,3,FALSE)</f>
        <v>1</v>
      </c>
      <c r="N57" s="82" t="str">
        <f>IF(L57=M57,"",'12.lan'!$D$240&amp;VLOOKUP(L57,$C$102:$D$106,2,FALSE)&amp;" ("&amp;L57&amp;")")</f>
        <v/>
      </c>
      <c r="O57" s="11">
        <f>C104</f>
        <v>1</v>
      </c>
    </row>
    <row r="58" spans="1:15" ht="30" customHeight="1">
      <c r="A58" s="13"/>
      <c r="B58" s="102" t="s">
        <v>61</v>
      </c>
      <c r="C58" s="103" t="str">
        <f>'12.lan'!D157</f>
        <v>Negativ-Aspekt C4.4: Verhinderung des Betriebsrates</v>
      </c>
      <c r="D58" s="84"/>
      <c r="E58" s="97"/>
      <c r="F58" s="86" t="str">
        <f>'12.lan'!$D$330</f>
        <v>Negativpunkte eingeben: Werte müssen im Bereich von -200 bis 0 liegen.</v>
      </c>
      <c r="G58" s="87"/>
      <c r="H58" s="88">
        <v>0</v>
      </c>
      <c r="I58" s="527">
        <f>H58*J54/50</f>
        <v>0</v>
      </c>
      <c r="J58" s="89">
        <f>-200*J54/50</f>
        <v>-205.12820512820511</v>
      </c>
    </row>
    <row r="59" spans="1:15" ht="36" customHeight="1">
      <c r="A59" s="13"/>
      <c r="B59" s="71" t="s">
        <v>62</v>
      </c>
      <c r="C59" s="71" t="str">
        <f>'12.lan'!D158</f>
        <v>Kund*nnen und Mitunternehmen</v>
      </c>
      <c r="D59" s="92">
        <f>L59</f>
        <v>1</v>
      </c>
      <c r="E59" s="513" t="str">
        <f>VLOOKUP(D59,$C$102:$D$106,2,FALSE)</f>
        <v>mittel</v>
      </c>
      <c r="F59" s="93"/>
      <c r="G59" s="93"/>
      <c r="H59" s="72">
        <f>IFERROR(I59/J59,0)</f>
        <v>0</v>
      </c>
      <c r="I59" s="73">
        <f>I60+I64+I68+I72</f>
        <v>0</v>
      </c>
      <c r="J59" s="73">
        <f>J60+J64+J68+J72</f>
        <v>205.12820512820511</v>
      </c>
      <c r="L59" s="11">
        <f>'9. Weighting'!K52</f>
        <v>1</v>
      </c>
      <c r="N59" s="510" t="str">
        <f>IF(D59&lt;&gt;L59,'12.lan'!$D$240&amp;VLOOKUP(L59,$C$102:$D$106,2,FALSE)&amp;" ("&amp;L59&amp;")","")</f>
        <v/>
      </c>
    </row>
    <row r="60" spans="1:15" ht="33" customHeight="1">
      <c r="A60" s="13"/>
      <c r="B60" s="75" t="s">
        <v>63</v>
      </c>
      <c r="C60" s="76" t="str">
        <f>'12.lan'!D159</f>
        <v>Ethische Kund*innenbeziehungen</v>
      </c>
      <c r="D60" s="77">
        <f>IF(K60="trifft nicht zu",C106,'9. Weighting'!M37)</f>
        <v>1</v>
      </c>
      <c r="E60" s="94" t="str">
        <f>VLOOKUP(D60,$C$102:$D$106,2,FALSE)</f>
        <v>mittel</v>
      </c>
      <c r="F60" s="90">
        <f>IF(K60="trifft nicht zu","trifft nicht zu",'9. Weighting'!M37)</f>
        <v>1</v>
      </c>
      <c r="G60" s="91"/>
      <c r="H60" s="80">
        <f>IF(J60&lt;&gt;0,SUM(I61:I63)/J60,"-")</f>
        <v>0</v>
      </c>
      <c r="I60" s="81">
        <f>IF(J60=0,0,H60*J60)</f>
        <v>0</v>
      </c>
      <c r="J60" s="81">
        <f>'9. Weighting'!M36</f>
        <v>51.282051282051277</v>
      </c>
      <c r="K60" s="63" t="str">
        <f>IF(AND(D61="trifft nicht zu",D62="trifft nicht zu"),"trifft nicht zu","")</f>
        <v/>
      </c>
      <c r="L60" s="11">
        <f>VLOOKUP(O60,$C$102:$E$106,3,FALSE)</f>
        <v>1</v>
      </c>
      <c r="M60" s="11">
        <f>VLOOKUP(D60,$C$102:$E$106,3,FALSE)</f>
        <v>1</v>
      </c>
      <c r="N60" s="82" t="str">
        <f>IF(L60=M60,"",'12.lan'!$D$240&amp;VLOOKUP(L60,$C$102:$D$106,2,FALSE)&amp;" ("&amp;L60&amp;")")</f>
        <v/>
      </c>
      <c r="O60" s="11">
        <f>IF(K60="trifft nicht zu",C106,'9. Weighting'!M37)</f>
        <v>1</v>
      </c>
    </row>
    <row r="61" spans="1:15" ht="30" customHeight="1">
      <c r="A61" s="13"/>
      <c r="B61" s="83" t="s">
        <v>64</v>
      </c>
      <c r="C61" s="83" t="str">
        <f>'12.lan'!D160</f>
        <v>Menschenwürdige Kommunikation mit Kund*innen</v>
      </c>
      <c r="D61" s="84">
        <f>C104</f>
        <v>1</v>
      </c>
      <c r="E61" s="97" t="str">
        <f>VLOOKUP(D61,$C$102:$D$106,2,FALSE)</f>
        <v>mittel</v>
      </c>
      <c r="F61" s="86" t="str">
        <f>'12.lan'!$D$329</f>
        <v>Skalenwert eingeben: Wert muss im Bereich von 0 bis 10 liegen.</v>
      </c>
      <c r="G61" s="87"/>
      <c r="H61" s="88">
        <v>0</v>
      </c>
      <c r="I61" s="527">
        <f>IFERROR(J61*H61/10,0)</f>
        <v>0</v>
      </c>
      <c r="J61" s="89">
        <f>IFERROR($J$60*K61/(SUM($K$61:$K$62)),0)</f>
        <v>25.641025641025639</v>
      </c>
      <c r="K61" s="11">
        <f>VLOOKUP(D61,$C$102:$E$106,3,FALSE)</f>
        <v>1</v>
      </c>
      <c r="L61" s="11">
        <f>VLOOKUP(O61,$C$102:$E$106,3,FALSE)</f>
        <v>1</v>
      </c>
      <c r="M61" s="11">
        <f>VLOOKUP(D61,$C$102:$E$106,3,FALSE)</f>
        <v>1</v>
      </c>
      <c r="N61" s="82" t="str">
        <f>IF(L61=M61,"",'12.lan'!$D$240&amp;VLOOKUP(L61,$C$102:$D$106,2,FALSE)&amp;" ("&amp;L61&amp;")")</f>
        <v/>
      </c>
      <c r="O61" s="11">
        <f>C104</f>
        <v>1</v>
      </c>
    </row>
    <row r="62" spans="1:15" ht="30" customHeight="1">
      <c r="A62" s="13"/>
      <c r="B62" s="21" t="s">
        <v>65</v>
      </c>
      <c r="C62" s="30" t="str">
        <f>'12.lan'!D161</f>
        <v>Barrierefreiheit</v>
      </c>
      <c r="D62" s="84">
        <f>C104</f>
        <v>1</v>
      </c>
      <c r="E62" s="97" t="str">
        <f>VLOOKUP(D62,$C$102:$D$106,2,FALSE)</f>
        <v>mittel</v>
      </c>
      <c r="F62" s="86" t="str">
        <f>'12.lan'!$D$329</f>
        <v>Skalenwert eingeben: Wert muss im Bereich von 0 bis 10 liegen.</v>
      </c>
      <c r="G62" s="87"/>
      <c r="H62" s="88">
        <v>0</v>
      </c>
      <c r="I62" s="527">
        <f>IFERROR(J62*H62/10,0)</f>
        <v>0</v>
      </c>
      <c r="J62" s="89">
        <f>IFERROR($J$60*K62/(SUM($K$61:$K$62)),0)</f>
        <v>25.641025641025639</v>
      </c>
      <c r="K62" s="11">
        <f>VLOOKUP(D62,$C$102:$E$106,3,FALSE)</f>
        <v>1</v>
      </c>
      <c r="L62" s="11">
        <f>VLOOKUP(O62,$C$102:$E$106,3,FALSE)</f>
        <v>1</v>
      </c>
      <c r="M62" s="11">
        <f>VLOOKUP(D62,$C$102:$E$106,3,FALSE)</f>
        <v>1</v>
      </c>
      <c r="N62" s="82" t="str">
        <f>IF(L62=M62,"",'12.lan'!$D$240&amp;VLOOKUP(L62,$C$102:$D$106,2,FALSE)&amp;" ("&amp;L62&amp;")")</f>
        <v/>
      </c>
      <c r="O62" s="11">
        <f>C104</f>
        <v>1</v>
      </c>
    </row>
    <row r="63" spans="1:15" ht="30" customHeight="1">
      <c r="A63" s="13"/>
      <c r="B63" s="30" t="s">
        <v>66</v>
      </c>
      <c r="C63" s="30" t="str">
        <f>'12.lan'!D162</f>
        <v>Negativ-Aspekt: Unethische Werbemaßnahmen</v>
      </c>
      <c r="D63" s="84"/>
      <c r="E63" s="97"/>
      <c r="F63" s="86" t="str">
        <f>'12.lan'!$D$330</f>
        <v>Negativpunkte eingeben: Werte müssen im Bereich von -200 bis 0 liegen.</v>
      </c>
      <c r="G63" s="87"/>
      <c r="H63" s="88">
        <v>0</v>
      </c>
      <c r="I63" s="527">
        <f>H63*J60/50</f>
        <v>0</v>
      </c>
      <c r="J63" s="89">
        <f>-200*J60/50</f>
        <v>-205.12820512820511</v>
      </c>
    </row>
    <row r="64" spans="1:15" ht="33" customHeight="1">
      <c r="A64" s="13"/>
      <c r="B64" s="75" t="s">
        <v>67</v>
      </c>
      <c r="C64" s="76" t="str">
        <f>'12.lan'!D163</f>
        <v>Kooperation und Solidarität mit Mitunternehmen</v>
      </c>
      <c r="D64" s="77">
        <f>IF(K64="trifft nicht zu",C106,'9. Weighting'!N37)</f>
        <v>1</v>
      </c>
      <c r="E64" s="94" t="str">
        <f>VLOOKUP(D64,$C$102:$D$106,2,FALSE)</f>
        <v>mittel</v>
      </c>
      <c r="F64" s="90">
        <f>IF(K64="trifft nicht zu","trifft nicht zu",'9. Weighting'!N37)</f>
        <v>1</v>
      </c>
      <c r="G64" s="91"/>
      <c r="H64" s="80">
        <f>IF(J64&lt;&gt;0,SUM(I65:I67)/J64,"-")</f>
        <v>0</v>
      </c>
      <c r="I64" s="81">
        <f>IF(J64=0,0,H64*J64)</f>
        <v>0</v>
      </c>
      <c r="J64" s="81">
        <f>'9. Weighting'!N36</f>
        <v>51.282051282051277</v>
      </c>
      <c r="K64" s="63" t="str">
        <f>IF(AND(D65="trifft nicht zu",D66="trifft nicht zu"),"trifft nicht zu","")</f>
        <v/>
      </c>
      <c r="L64" s="11">
        <f>VLOOKUP(O64,$C$102:$E$106,3,FALSE)</f>
        <v>1</v>
      </c>
      <c r="M64" s="11">
        <f>VLOOKUP(D64,$C$102:$E$106,3,FALSE)</f>
        <v>1</v>
      </c>
      <c r="N64" s="82" t="str">
        <f>IF(L64=M64,"",'12.lan'!$D$240&amp;VLOOKUP(L64,$C$102:$D$106,2,FALSE)&amp;" ("&amp;L64&amp;")")</f>
        <v/>
      </c>
      <c r="O64" s="11">
        <f>IF(K64="trifft nicht zu",C106,'9. Weighting'!N37)</f>
        <v>1</v>
      </c>
    </row>
    <row r="65" spans="1:15" ht="30" customHeight="1">
      <c r="A65" s="13"/>
      <c r="B65" s="83" t="s">
        <v>68</v>
      </c>
      <c r="C65" s="83" t="str">
        <f>'12.lan'!D164</f>
        <v>Kooperation mit Mitunternehmen</v>
      </c>
      <c r="D65" s="84">
        <f>C104</f>
        <v>1</v>
      </c>
      <c r="E65" s="97" t="str">
        <f>VLOOKUP(D65,$C$102:$D$106,2,FALSE)</f>
        <v>mittel</v>
      </c>
      <c r="F65" s="86" t="str">
        <f>'12.lan'!$D$329</f>
        <v>Skalenwert eingeben: Wert muss im Bereich von 0 bis 10 liegen.</v>
      </c>
      <c r="G65" s="87"/>
      <c r="H65" s="88">
        <v>0</v>
      </c>
      <c r="I65" s="527">
        <f>IFERROR(J65*H65/10,0)</f>
        <v>0</v>
      </c>
      <c r="J65" s="89">
        <f>IFERROR($J$64*K65/(SUM($K$65:$K$66)),0)</f>
        <v>25.641025641025639</v>
      </c>
      <c r="K65" s="11">
        <f>VLOOKUP(D65,$C$102:$E$106,3,FALSE)</f>
        <v>1</v>
      </c>
      <c r="L65" s="11">
        <f>VLOOKUP(O65,$C$102:$E$106,3,FALSE)</f>
        <v>1</v>
      </c>
      <c r="M65" s="11">
        <f>VLOOKUP(D65,$C$102:$E$106,3,FALSE)</f>
        <v>1</v>
      </c>
      <c r="N65" s="82" t="str">
        <f>IF(L65=M65,"",'12.lan'!$D$240&amp;VLOOKUP(L65,$C$102:$D$106,2,FALSE)&amp;" ("&amp;L65&amp;")")</f>
        <v/>
      </c>
      <c r="O65" s="11">
        <f>C104</f>
        <v>1</v>
      </c>
    </row>
    <row r="66" spans="1:15" ht="30" customHeight="1">
      <c r="A66" s="13"/>
      <c r="B66" s="30" t="s">
        <v>69</v>
      </c>
      <c r="C66" s="30" t="str">
        <f>'12.lan'!D165</f>
        <v>Solidarität mit Mitunternehmen</v>
      </c>
      <c r="D66" s="84">
        <f>C104</f>
        <v>1</v>
      </c>
      <c r="E66" s="97" t="str">
        <f>VLOOKUP(D66,$C$102:$D$106,2,FALSE)</f>
        <v>mittel</v>
      </c>
      <c r="F66" s="86" t="str">
        <f>'12.lan'!$D$329</f>
        <v>Skalenwert eingeben: Wert muss im Bereich von 0 bis 10 liegen.</v>
      </c>
      <c r="G66" s="87"/>
      <c r="H66" s="88">
        <v>0</v>
      </c>
      <c r="I66" s="527">
        <f>IFERROR(J66*H66/10,0)</f>
        <v>0</v>
      </c>
      <c r="J66" s="89">
        <f>IFERROR($J$64*K66/(SUM($K$65:$K$66)),0)</f>
        <v>25.641025641025639</v>
      </c>
      <c r="K66" s="11">
        <f>VLOOKUP(D66,$C$102:$E$106,3,FALSE)</f>
        <v>1</v>
      </c>
      <c r="L66" s="11">
        <f>VLOOKUP(O66,$C$102:$E$106,3,FALSE)</f>
        <v>1</v>
      </c>
      <c r="M66" s="11">
        <f>VLOOKUP(D66,$C$102:$E$106,3,FALSE)</f>
        <v>1</v>
      </c>
      <c r="N66" s="82" t="str">
        <f>IF(L66=M66,"",'12.lan'!$D$240&amp;VLOOKUP(L66,$C$102:$D$106,2,FALSE)&amp;" ("&amp;L66&amp;")")</f>
        <v/>
      </c>
      <c r="O66" s="11">
        <f>C104</f>
        <v>1</v>
      </c>
    </row>
    <row r="67" spans="1:15" ht="33.75" customHeight="1">
      <c r="A67" s="13"/>
      <c r="B67" s="100" t="s">
        <v>70</v>
      </c>
      <c r="C67" s="100" t="str">
        <f>'12.lan'!D166</f>
        <v>Negativ-Aspekt D2.3: Missbrauch der Marktmacht gegenüber Mitunternehmen</v>
      </c>
      <c r="D67" s="84"/>
      <c r="E67" s="97"/>
      <c r="F67" s="86" t="str">
        <f>'12.lan'!$D$330</f>
        <v>Negativpunkte eingeben: Werte müssen im Bereich von -200 bis 0 liegen.</v>
      </c>
      <c r="G67" s="104"/>
      <c r="H67" s="88">
        <v>0</v>
      </c>
      <c r="I67" s="527">
        <f>H67*J64/50</f>
        <v>0</v>
      </c>
      <c r="J67" s="89">
        <f>-200*J64/50</f>
        <v>-205.12820512820511</v>
      </c>
    </row>
    <row r="68" spans="1:15" ht="36" customHeight="1">
      <c r="A68" s="13"/>
      <c r="B68" s="75" t="s">
        <v>71</v>
      </c>
      <c r="C68" s="105" t="str">
        <f>'12.lan'!D167</f>
        <v>Ökologische Auswirkung durch Nutzung und Entsorgung von Produkten und Dienstleistungen</v>
      </c>
      <c r="D68" s="77">
        <f>IF(K68="trifft nicht zu",C106,'9. Weighting'!O37)</f>
        <v>1</v>
      </c>
      <c r="E68" s="94" t="str">
        <f>VLOOKUP(D68,$C$102:$D$106,2,FALSE)</f>
        <v>mittel</v>
      </c>
      <c r="F68" s="90">
        <f>IF(K68="trifft nicht zu","trifft nicht zu",'9. Weighting'!O37)</f>
        <v>1</v>
      </c>
      <c r="G68" s="106"/>
      <c r="H68" s="80">
        <f>IF(J68&lt;&gt;0,SUM(I69:I71)/J68,"-")</f>
        <v>0</v>
      </c>
      <c r="I68" s="81">
        <f>IF(J68=0,0,H68*J68)</f>
        <v>0</v>
      </c>
      <c r="J68" s="81">
        <f>'9. Weighting'!O36</f>
        <v>51.282051282051277</v>
      </c>
      <c r="K68" s="63" t="str">
        <f>IF(AND(D69="trifft nicht zu",D70="trifft nicht zu"),"trifft nicht zu","")</f>
        <v/>
      </c>
      <c r="L68" s="11">
        <f>VLOOKUP(O68,$C$102:$E$106,3,FALSE)</f>
        <v>1</v>
      </c>
      <c r="M68" s="11">
        <f>VLOOKUP(D68,$C$102:$E$106,3,FALSE)</f>
        <v>1</v>
      </c>
      <c r="N68" s="82" t="str">
        <f>IF(L68=M68,"",'12.lan'!$D$240&amp;VLOOKUP(L68,$C$102:$D$106,2,FALSE)&amp;" ("&amp;L68&amp;")")</f>
        <v/>
      </c>
      <c r="O68" s="11">
        <f>IF(K68="trifft nicht zu",C106,'9. Weighting'!O37)</f>
        <v>1</v>
      </c>
    </row>
    <row r="69" spans="1:15" ht="33.75" customHeight="1">
      <c r="A69" s="13"/>
      <c r="B69" s="83" t="s">
        <v>72</v>
      </c>
      <c r="C69" s="83" t="str">
        <f>'12.lan'!D168</f>
        <v>Ökologisches Kosten-Nutzen-Verhältnis von Produkten und Dienstleistungen (Effizienz und Konsistenz)</v>
      </c>
      <c r="D69" s="84">
        <f>C104</f>
        <v>1</v>
      </c>
      <c r="E69" s="97" t="str">
        <f>VLOOKUP(D69,$C$102:$D$106,2,FALSE)</f>
        <v>mittel</v>
      </c>
      <c r="F69" s="86" t="str">
        <f>'12.lan'!$D$329</f>
        <v>Skalenwert eingeben: Wert muss im Bereich von 0 bis 10 liegen.</v>
      </c>
      <c r="G69" s="87"/>
      <c r="H69" s="88">
        <v>0</v>
      </c>
      <c r="I69" s="527">
        <f>IFERROR(J69*H69/10,0)</f>
        <v>0</v>
      </c>
      <c r="J69" s="89">
        <f>IFERROR($J$68*K69/(SUM($K$69:$K$70)),0)</f>
        <v>25.641025641025639</v>
      </c>
      <c r="K69" s="11">
        <f>VLOOKUP(D69,$C$102:$E$106,3,FALSE)</f>
        <v>1</v>
      </c>
      <c r="L69" s="11">
        <f>VLOOKUP(O69,$C$102:$E$106,3,FALSE)</f>
        <v>1</v>
      </c>
      <c r="M69" s="11">
        <f>VLOOKUP(D69,$C$102:$E$106,3,FALSE)</f>
        <v>1</v>
      </c>
      <c r="N69" s="82" t="str">
        <f>IF(L69=M69,"",'12.lan'!$D$240&amp;VLOOKUP(L69,$C$102:$D$106,2,FALSE)&amp;" ("&amp;L69&amp;")")</f>
        <v/>
      </c>
      <c r="O69" s="11">
        <f>C104</f>
        <v>1</v>
      </c>
    </row>
    <row r="70" spans="1:15" ht="30" customHeight="1">
      <c r="A70" s="13"/>
      <c r="B70" s="30" t="s">
        <v>73</v>
      </c>
      <c r="C70" s="30" t="str">
        <f>'12.lan'!D169</f>
        <v>Maßvolle Nutzung von Produkten und Dienstleistungen (Suffizienz)</v>
      </c>
      <c r="D70" s="84">
        <f>C104</f>
        <v>1</v>
      </c>
      <c r="E70" s="97" t="str">
        <f>VLOOKUP(D70,$C$102:$D$106,2,FALSE)</f>
        <v>mittel</v>
      </c>
      <c r="F70" s="86" t="str">
        <f>'12.lan'!$D$329</f>
        <v>Skalenwert eingeben: Wert muss im Bereich von 0 bis 10 liegen.</v>
      </c>
      <c r="G70" s="87"/>
      <c r="H70" s="88">
        <v>0</v>
      </c>
      <c r="I70" s="527">
        <f>IFERROR(J70*H70/10,0)</f>
        <v>0</v>
      </c>
      <c r="J70" s="89">
        <f>IFERROR($J$68*K70/(SUM($K$69:$K$70)),0)</f>
        <v>25.641025641025639</v>
      </c>
      <c r="K70" s="11">
        <f>VLOOKUP(D70,$C$102:$E$106,3,FALSE)</f>
        <v>1</v>
      </c>
      <c r="L70" s="11">
        <f>VLOOKUP(O70,$C$102:$E$106,3,FALSE)</f>
        <v>1</v>
      </c>
      <c r="M70" s="11">
        <f>VLOOKUP(D70,$C$102:$E$106,3,FALSE)</f>
        <v>1</v>
      </c>
      <c r="N70" s="82" t="str">
        <f>IF(L70=M70,"",'12.lan'!$D$240&amp;VLOOKUP(L70,$C$102:$D$106,2,FALSE)&amp;" ("&amp;L70&amp;")")</f>
        <v/>
      </c>
      <c r="O70" s="11">
        <f>C104</f>
        <v>1</v>
      </c>
    </row>
    <row r="71" spans="1:15" ht="33" customHeight="1">
      <c r="A71" s="13"/>
      <c r="B71" s="100" t="s">
        <v>74</v>
      </c>
      <c r="C71" s="100" t="str">
        <f>'12.lan'!D170</f>
        <v>Negativ-Aspekt: Bewusste Inkaufnahme unverhältnismäßiger, ökologischer Auswirkungen</v>
      </c>
      <c r="D71" s="84"/>
      <c r="E71" s="97"/>
      <c r="F71" s="86" t="str">
        <f>'12.lan'!$D$330</f>
        <v>Negativpunkte eingeben: Werte müssen im Bereich von -200 bis 0 liegen.</v>
      </c>
      <c r="G71" s="87"/>
      <c r="H71" s="88">
        <v>0</v>
      </c>
      <c r="I71" s="527">
        <f>H71*J68/50</f>
        <v>0</v>
      </c>
      <c r="J71" s="89">
        <f>-200*J68/50</f>
        <v>-205.12820512820511</v>
      </c>
    </row>
    <row r="72" spans="1:15" ht="33" customHeight="1">
      <c r="A72" s="13"/>
      <c r="B72" s="75" t="s">
        <v>75</v>
      </c>
      <c r="C72" s="76" t="str">
        <f>'12.lan'!D171</f>
        <v>Kund*innen-Mitwirkung und Produkttransparenz</v>
      </c>
      <c r="D72" s="77">
        <f>IF(K72="trifft nicht zu",C106,'9. Weighting'!P37)</f>
        <v>1</v>
      </c>
      <c r="E72" s="94" t="str">
        <f>VLOOKUP(D72,$C$102:$D$106,2,FALSE)</f>
        <v>mittel</v>
      </c>
      <c r="F72" s="90">
        <f>IF(K72="trifft nicht zu","trifft nicht zu",'9. Weighting'!P37)</f>
        <v>1</v>
      </c>
      <c r="G72" s="91"/>
      <c r="H72" s="80">
        <f>IF(J72&lt;&gt;0,SUM(I73:I75)/J72,"-")</f>
        <v>0</v>
      </c>
      <c r="I72" s="81">
        <f>IF(J72=0,0,H72*J72)</f>
        <v>0</v>
      </c>
      <c r="J72" s="81">
        <f>'9. Weighting'!P36</f>
        <v>51.282051282051277</v>
      </c>
      <c r="K72" s="63" t="str">
        <f>IF(AND(D73="trifft nicht zu",D74="trifft nicht zu"),"trifft nicht zu","")</f>
        <v/>
      </c>
      <c r="L72" s="11">
        <f>VLOOKUP(O72,$C$102:$E$106,3,FALSE)</f>
        <v>1</v>
      </c>
      <c r="M72" s="11">
        <f>VLOOKUP(D72,$C$102:$E$106,3,FALSE)</f>
        <v>1</v>
      </c>
      <c r="N72" s="82" t="str">
        <f>IF(L72=M72,"",'12.lan'!$D$240&amp;VLOOKUP(L72,$C$102:$D$106,2,FALSE)&amp;" ("&amp;L72&amp;")")</f>
        <v/>
      </c>
      <c r="O72" s="11">
        <f>IF(K72="trifft nicht zu",C106,'9. Weighting'!P37)</f>
        <v>1</v>
      </c>
    </row>
    <row r="73" spans="1:15" ht="33.75" customHeight="1">
      <c r="A73" s="13"/>
      <c r="B73" s="83" t="s">
        <v>76</v>
      </c>
      <c r="C73" s="83" t="str">
        <f>'12.lan'!D172</f>
        <v>Kund*innen-Mitwirkung, gemeinsame Produktentwicklung und Marktforschung</v>
      </c>
      <c r="D73" s="84">
        <f>C104</f>
        <v>1</v>
      </c>
      <c r="E73" s="97" t="str">
        <f>VLOOKUP(D73,$C$102:$D$106,2,FALSE)</f>
        <v>mittel</v>
      </c>
      <c r="F73" s="86" t="str">
        <f>'12.lan'!$D$329</f>
        <v>Skalenwert eingeben: Wert muss im Bereich von 0 bis 10 liegen.</v>
      </c>
      <c r="G73" s="87"/>
      <c r="H73" s="88">
        <v>0</v>
      </c>
      <c r="I73" s="527">
        <f>IFERROR(J73*H73/10,0)</f>
        <v>0</v>
      </c>
      <c r="J73" s="89">
        <f>IFERROR($J$72*K73/(SUM($K$73:$K$74)),0)</f>
        <v>25.641025641025639</v>
      </c>
      <c r="K73" s="11">
        <f>VLOOKUP(D73,$C$102:$E$106,3,FALSE)</f>
        <v>1</v>
      </c>
      <c r="L73" s="11">
        <f>VLOOKUP(O73,$C$102:$E$106,3,FALSE)</f>
        <v>1</v>
      </c>
      <c r="M73" s="11">
        <f>VLOOKUP(D73,$C$102:$E$106,3,FALSE)</f>
        <v>1</v>
      </c>
      <c r="N73" s="82" t="str">
        <f>IF(L73=M73,"",'12.lan'!$D$240&amp;VLOOKUP(L73,$C$102:$D$106,2,FALSE)&amp;" ("&amp;L73&amp;")")</f>
        <v/>
      </c>
      <c r="O73" s="11">
        <f>C104</f>
        <v>1</v>
      </c>
    </row>
    <row r="74" spans="1:15" ht="30" customHeight="1">
      <c r="A74" s="13"/>
      <c r="B74" s="100" t="s">
        <v>77</v>
      </c>
      <c r="C74" s="100" t="str">
        <f>'12.lan'!D173</f>
        <v>Produkttransparenz</v>
      </c>
      <c r="D74" s="84">
        <f>C104</f>
        <v>1</v>
      </c>
      <c r="E74" s="97" t="str">
        <f>VLOOKUP(D74,$C$102:$D$106,2,FALSE)</f>
        <v>mittel</v>
      </c>
      <c r="F74" s="86" t="str">
        <f>'12.lan'!$D$329</f>
        <v>Skalenwert eingeben: Wert muss im Bereich von 0 bis 10 liegen.</v>
      </c>
      <c r="G74" s="87"/>
      <c r="H74" s="88">
        <v>0</v>
      </c>
      <c r="I74" s="527">
        <f>IFERROR(J74*H74/10,0)</f>
        <v>0</v>
      </c>
      <c r="J74" s="89">
        <f>IFERROR($J$72*K74/(SUM($K$73:$K$74)),0)</f>
        <v>25.641025641025639</v>
      </c>
      <c r="K74" s="11">
        <f>VLOOKUP(D74,$C$102:$E$106,3,FALSE)</f>
        <v>1</v>
      </c>
      <c r="L74" s="11">
        <f>VLOOKUP(O74,$C$102:$E$106,3,FALSE)</f>
        <v>1</v>
      </c>
      <c r="M74" s="11">
        <f>VLOOKUP(D74,$C$102:$E$106,3,FALSE)</f>
        <v>1</v>
      </c>
      <c r="N74" s="82" t="str">
        <f>IF(L74=M74,"",'12.lan'!$D$240&amp;VLOOKUP(L74,$C$102:$D$106,2,FALSE)&amp;" ("&amp;L74&amp;")")</f>
        <v/>
      </c>
      <c r="O74" s="11">
        <f>C104</f>
        <v>1</v>
      </c>
    </row>
    <row r="75" spans="1:15" ht="30" customHeight="1">
      <c r="A75" s="13"/>
      <c r="B75" s="100" t="s">
        <v>77</v>
      </c>
      <c r="C75" s="100" t="str">
        <f>'12.lan'!D174</f>
        <v>Negativ-Aspekt: Kein Ausweis von Gefahrenstoffen</v>
      </c>
      <c r="D75" s="84"/>
      <c r="E75" s="97"/>
      <c r="F75" s="86" t="str">
        <f>'12.lan'!$D$330</f>
        <v>Negativpunkte eingeben: Werte müssen im Bereich von -200 bis 0 liegen.</v>
      </c>
      <c r="G75" s="87"/>
      <c r="H75" s="88">
        <v>0</v>
      </c>
      <c r="I75" s="527">
        <f>H75*J72/50</f>
        <v>0</v>
      </c>
      <c r="J75" s="89">
        <f>-200*J72/50</f>
        <v>-205.12820512820511</v>
      </c>
    </row>
    <row r="76" spans="1:15" ht="36" customHeight="1">
      <c r="A76" s="13"/>
      <c r="B76" s="71" t="s">
        <v>78</v>
      </c>
      <c r="C76" s="71" t="str">
        <f>'12.lan'!D175</f>
        <v>Gesellschaftliches Umfeld</v>
      </c>
      <c r="D76" s="92">
        <f>L76</f>
        <v>1</v>
      </c>
      <c r="E76" s="513" t="str">
        <f>VLOOKUP(D76,$C$102:$D$106,2,FALSE)</f>
        <v>mittel</v>
      </c>
      <c r="F76" s="93"/>
      <c r="G76" s="93"/>
      <c r="H76" s="72">
        <f>IFERROR(I76/J76,0)</f>
        <v>0</v>
      </c>
      <c r="I76" s="73">
        <f>I77+I81+I86+I90</f>
        <v>0</v>
      </c>
      <c r="J76" s="73">
        <f>J77+J81+J86+J90</f>
        <v>205.12820512820511</v>
      </c>
      <c r="L76" s="11">
        <f>'9. Weighting'!K53</f>
        <v>1</v>
      </c>
      <c r="N76" s="510" t="str">
        <f>IF(D76&lt;&gt;L76,'12.lan'!$D$240&amp;VLOOKUP(L76,$C$102:$D$106,2,FALSE)&amp;" ("&amp;L76&amp;")","")</f>
        <v/>
      </c>
    </row>
    <row r="77" spans="1:15" ht="36" customHeight="1">
      <c r="A77" s="13"/>
      <c r="B77" s="75" t="s">
        <v>79</v>
      </c>
      <c r="C77" s="105" t="str">
        <f>'12.lan'!D176</f>
        <v>Sinn und gesellschaftliche Wirkung der Produkte und Dienstleistungen</v>
      </c>
      <c r="D77" s="77">
        <f>IF(K77="trifft nicht zu",C106,'9. Weighting'!M43)</f>
        <v>1</v>
      </c>
      <c r="E77" s="94" t="str">
        <f>VLOOKUP(D77,$C$102:$D$106,2,FALSE)</f>
        <v>mittel</v>
      </c>
      <c r="F77" s="107">
        <f>IF(K77="trifft nicht zu","trifft nicht zu",'9. Weighting'!M43)</f>
        <v>1</v>
      </c>
      <c r="G77" s="108"/>
      <c r="H77" s="80">
        <f>IF(J77&lt;&gt;0,SUM(I78:I80)/J77,"-")</f>
        <v>0</v>
      </c>
      <c r="I77" s="81">
        <f>IF(J77=0,0,H77*J77)</f>
        <v>0</v>
      </c>
      <c r="J77" s="81">
        <f>'9. Weighting'!M42</f>
        <v>51.282051282051277</v>
      </c>
      <c r="K77" s="63" t="str">
        <f>IF(AND(D78="trifft nicht zu",D79="trifft nicht zu"),"trifft nicht zu","")</f>
        <v/>
      </c>
      <c r="L77" s="11">
        <f>VLOOKUP(O77,$C$102:$E$106,3,FALSE)</f>
        <v>1</v>
      </c>
      <c r="M77" s="11">
        <f>VLOOKUP(D77,$C$102:$E$106,3,FALSE)</f>
        <v>1</v>
      </c>
      <c r="N77" s="82" t="str">
        <f>IF(L77=M77,"",'12.lan'!$D$240&amp;VLOOKUP(L77,$C$102:$D$106,2,FALSE)&amp;" ("&amp;L77&amp;")")</f>
        <v/>
      </c>
      <c r="O77" s="11">
        <f>IF(K77="trifft nicht zu",C106,'9. Weighting'!M43)</f>
        <v>1</v>
      </c>
    </row>
    <row r="78" spans="1:15" ht="34.5" customHeight="1">
      <c r="A78" s="13"/>
      <c r="B78" s="83" t="s">
        <v>80</v>
      </c>
      <c r="C78" s="83" t="str">
        <f>'12.lan'!D177</f>
        <v>Produkte und Dienstleistungen decken den Grundbedarf und dienen dem guten Leben</v>
      </c>
      <c r="D78" s="84">
        <f>C104</f>
        <v>1</v>
      </c>
      <c r="E78" s="97" t="str">
        <f>VLOOKUP(D78,$C$102:$D$106,2,FALSE)</f>
        <v>mittel</v>
      </c>
      <c r="F78" s="86" t="str">
        <f>'12.lan'!$D$329</f>
        <v>Skalenwert eingeben: Wert muss im Bereich von 0 bis 10 liegen.</v>
      </c>
      <c r="G78" s="87"/>
      <c r="H78" s="88">
        <v>0</v>
      </c>
      <c r="I78" s="527">
        <f>IFERROR(J78*H78/10,0)</f>
        <v>0</v>
      </c>
      <c r="J78" s="89">
        <f>IFERROR($J$77*K78/(SUM($K$78:$K$79)),0)</f>
        <v>25.641025641025639</v>
      </c>
      <c r="K78" s="11">
        <f>VLOOKUP(D78,$C$102:$E$106,3,FALSE)</f>
        <v>1</v>
      </c>
      <c r="L78" s="11">
        <f>VLOOKUP(O78,$C$102:$E$106,3,FALSE)</f>
        <v>1</v>
      </c>
      <c r="M78" s="11">
        <f>VLOOKUP(D78,$C$102:$E$106,3,FALSE)</f>
        <v>1</v>
      </c>
      <c r="N78" s="82" t="str">
        <f>IF(L78=M78,"",'12.lan'!$D$240&amp;VLOOKUP(L78,$C$102:$D$106,2,FALSE)&amp;" ("&amp;L78&amp;")")</f>
        <v/>
      </c>
      <c r="O78" s="11">
        <f>C104</f>
        <v>1</v>
      </c>
    </row>
    <row r="79" spans="1:15" ht="30" customHeight="1">
      <c r="A79" s="13"/>
      <c r="B79" s="100" t="s">
        <v>81</v>
      </c>
      <c r="C79" s="100" t="str">
        <f>'12.lan'!D178</f>
        <v>Gesellschaftliche Wirkung der Produkte und Dienstleistungen</v>
      </c>
      <c r="D79" s="84">
        <f>C104</f>
        <v>1</v>
      </c>
      <c r="E79" s="97" t="str">
        <f>VLOOKUP(D79,$C$102:$D$106,2,FALSE)</f>
        <v>mittel</v>
      </c>
      <c r="F79" s="86" t="str">
        <f>'12.lan'!$D$329</f>
        <v>Skalenwert eingeben: Wert muss im Bereich von 0 bis 10 liegen.</v>
      </c>
      <c r="G79" s="87"/>
      <c r="H79" s="88">
        <v>0</v>
      </c>
      <c r="I79" s="527">
        <f>IFERROR(J79*H79/10,0)</f>
        <v>0</v>
      </c>
      <c r="J79" s="89">
        <f>IFERROR($J$77*K79/(SUM($K$78:$K$79)),0)</f>
        <v>25.641025641025639</v>
      </c>
      <c r="K79" s="11">
        <f>VLOOKUP(D79,$C$102:$E$106,3,FALSE)</f>
        <v>1</v>
      </c>
      <c r="L79" s="11">
        <f>VLOOKUP(O79,$C$102:$E$106,3,FALSE)</f>
        <v>1</v>
      </c>
      <c r="M79" s="11">
        <f>VLOOKUP(D79,$C$102:$E$106,3,FALSE)</f>
        <v>1</v>
      </c>
      <c r="N79" s="82" t="str">
        <f>IF(L79=M79,"",'12.lan'!$D$240&amp;VLOOKUP(L79,$C$102:$D$106,2,FALSE)&amp;" ("&amp;L79&amp;")")</f>
        <v/>
      </c>
      <c r="O79" s="11">
        <f>C104</f>
        <v>1</v>
      </c>
    </row>
    <row r="80" spans="1:15" ht="30" customHeight="1">
      <c r="A80" s="13"/>
      <c r="B80" s="100" t="s">
        <v>82</v>
      </c>
      <c r="C80" s="100" t="str">
        <f>'12.lan'!D179</f>
        <v>Negativ-Aspekt: Menschenunwürdige Produkte und Dienstleistungen</v>
      </c>
      <c r="D80" s="84"/>
      <c r="E80" s="97"/>
      <c r="F80" s="86" t="str">
        <f>'12.lan'!$D$330</f>
        <v>Negativpunkte eingeben: Werte müssen im Bereich von -200 bis 0 liegen.</v>
      </c>
      <c r="G80" s="87"/>
      <c r="H80" s="88">
        <v>0</v>
      </c>
      <c r="I80" s="527">
        <f>H80*J77/50</f>
        <v>0</v>
      </c>
      <c r="J80" s="89">
        <f>-200*J77/50</f>
        <v>-205.12820512820511</v>
      </c>
    </row>
    <row r="81" spans="1:15" ht="33" customHeight="1">
      <c r="A81" s="13"/>
      <c r="B81" s="75" t="s">
        <v>83</v>
      </c>
      <c r="C81" s="105" t="str">
        <f>'12.lan'!D180</f>
        <v>Beitrag zum Gemeinwesen</v>
      </c>
      <c r="D81" s="77">
        <f>IF(K81="trifft nicht zu",C106,'9. Weighting'!N43)</f>
        <v>1</v>
      </c>
      <c r="E81" s="94" t="str">
        <f>VLOOKUP(D81,$C$102:$D$106,2,FALSE)</f>
        <v>mittel</v>
      </c>
      <c r="F81" s="107">
        <f>IF(K81="trifft nicht zu","trifft nicht zu",'9. Weighting'!N43)</f>
        <v>1</v>
      </c>
      <c r="G81" s="108"/>
      <c r="H81" s="80">
        <f>IF(J81&lt;&gt;0,SUM(I82:I85)/J81,"-")</f>
        <v>0</v>
      </c>
      <c r="I81" s="81">
        <f>IF(J81=0,0,H81*J81)</f>
        <v>0</v>
      </c>
      <c r="J81" s="81">
        <f>'9. Weighting'!N42</f>
        <v>51.282051282051277</v>
      </c>
      <c r="K81" s="63" t="str">
        <f>IF(AND(D82="trifft nicht zu",D83="trifft nicht zu"),"trifft nicht zu","")</f>
        <v/>
      </c>
      <c r="L81" s="11">
        <f>VLOOKUP(O81,$C$102:$E$106,3,FALSE)</f>
        <v>1</v>
      </c>
      <c r="M81" s="11">
        <f>VLOOKUP(D81,$C$102:$E$106,3,FALSE)</f>
        <v>1</v>
      </c>
      <c r="N81" s="82" t="str">
        <f>IF(L81=M81,"",'12.lan'!$D$240&amp;VLOOKUP(L81,$C$102:$D$106,2,FALSE)&amp;" ("&amp;L81&amp;")")</f>
        <v/>
      </c>
      <c r="O81" s="11">
        <f>IF(K81="trifft nicht zu",C106,'9. Weighting'!N43)</f>
        <v>1</v>
      </c>
    </row>
    <row r="82" spans="1:15" ht="30" customHeight="1">
      <c r="A82" s="13"/>
      <c r="B82" s="96" t="s">
        <v>84</v>
      </c>
      <c r="C82" s="96" t="str">
        <f>'12.lan'!D181</f>
        <v>Steuern und Sozialabgaben</v>
      </c>
      <c r="D82" s="84">
        <f>C104</f>
        <v>1</v>
      </c>
      <c r="E82" s="97" t="str">
        <f>VLOOKUP(D82,$C$102:$D$106,2,FALSE)</f>
        <v>mittel</v>
      </c>
      <c r="F82" s="86" t="str">
        <f>'12.lan'!$D$329</f>
        <v>Skalenwert eingeben: Wert muss im Bereich von 0 bis 10 liegen.</v>
      </c>
      <c r="G82" s="87"/>
      <c r="H82" s="88">
        <v>0</v>
      </c>
      <c r="I82" s="527">
        <f>IFERROR(J82*H82/10,0)</f>
        <v>0</v>
      </c>
      <c r="J82" s="89">
        <f>IFERROR($J$81*K82/SUM($K$82:$K$83),0)</f>
        <v>25.641025641025639</v>
      </c>
      <c r="K82" s="11">
        <f>VLOOKUP(D82,$C$102:$E$106,3,FALSE)</f>
        <v>1</v>
      </c>
      <c r="L82" s="11">
        <f>VLOOKUP(O82,$C$102:$E$106,3,FALSE)</f>
        <v>1</v>
      </c>
      <c r="M82" s="11">
        <f>VLOOKUP(D82,$C$102:$E$106,3,FALSE)</f>
        <v>1</v>
      </c>
      <c r="N82" s="82" t="str">
        <f>IF(L82=M82,"",'12.lan'!$D$240&amp;VLOOKUP(L82,$C$102:$D$106,2,FALSE)&amp;" ("&amp;L82&amp;")")</f>
        <v/>
      </c>
      <c r="O82" s="11">
        <f>C104</f>
        <v>1</v>
      </c>
    </row>
    <row r="83" spans="1:15" ht="30" customHeight="1">
      <c r="A83" s="13"/>
      <c r="B83" s="21" t="s">
        <v>85</v>
      </c>
      <c r="C83" s="21" t="str">
        <f>'12.lan'!D182</f>
        <v>Freiwillige Beiträge zur Stärkung des Gemeinwesens</v>
      </c>
      <c r="D83" s="84">
        <v>1</v>
      </c>
      <c r="E83" s="97" t="str">
        <f>VLOOKUP(D83,$C$102:$D$106,2,FALSE)</f>
        <v>mittel</v>
      </c>
      <c r="F83" s="86" t="str">
        <f>'12.lan'!$D$329</f>
        <v>Skalenwert eingeben: Wert muss im Bereich von 0 bis 10 liegen.</v>
      </c>
      <c r="G83" s="87"/>
      <c r="H83" s="88">
        <v>0</v>
      </c>
      <c r="I83" s="527">
        <f>IFERROR(J83*H83/10,0)</f>
        <v>0</v>
      </c>
      <c r="J83" s="89">
        <f>IFERROR($J$81*K83/SUM($K$82:$K$83),0)</f>
        <v>25.641025641025639</v>
      </c>
      <c r="K83" s="11">
        <f>VLOOKUP(D83,$C$102:$E$106,3,FALSE)</f>
        <v>1</v>
      </c>
      <c r="L83" s="11">
        <f>VLOOKUP(O83,$C$102:$E$106,3,FALSE)</f>
        <v>1</v>
      </c>
      <c r="M83" s="11">
        <f>VLOOKUP(D83,$C$102:$E$106,3,FALSE)</f>
        <v>1</v>
      </c>
      <c r="N83" s="82" t="str">
        <f>IF(L83=M83,"",'12.lan'!$D$240&amp;VLOOKUP(L83,$C$102:$D$106,2,FALSE)&amp;" ("&amp;L83&amp;")")</f>
        <v/>
      </c>
      <c r="O83" s="11">
        <f>C104</f>
        <v>1</v>
      </c>
    </row>
    <row r="84" spans="1:15" ht="30" customHeight="1">
      <c r="A84" s="13"/>
      <c r="B84" s="101" t="s">
        <v>86</v>
      </c>
      <c r="C84" s="101" t="str">
        <f>'12.lan'!D183</f>
        <v>Negativ-Aspekt: Illegitime Steuervermeidung</v>
      </c>
      <c r="D84" s="84"/>
      <c r="E84" s="97"/>
      <c r="F84" s="86" t="str">
        <f>'12.lan'!$D$330</f>
        <v>Negativpunkte eingeben: Werte müssen im Bereich von -200 bis 0 liegen.</v>
      </c>
      <c r="G84" s="87"/>
      <c r="H84" s="88">
        <v>0</v>
      </c>
      <c r="I84" s="527">
        <f>H84*J81/50</f>
        <v>0</v>
      </c>
      <c r="J84" s="89">
        <f>-200*J81/50</f>
        <v>-205.12820512820511</v>
      </c>
    </row>
    <row r="85" spans="1:15" ht="30" customHeight="1">
      <c r="A85" s="13"/>
      <c r="B85" s="101" t="s">
        <v>87</v>
      </c>
      <c r="C85" s="101" t="str">
        <f>'12.lan'!D184</f>
        <v>Negativ-Aspekt: Mangelnde Korruptionsprävention</v>
      </c>
      <c r="D85" s="84"/>
      <c r="E85" s="97"/>
      <c r="F85" s="86" t="str">
        <f>'12.lan'!$D$330</f>
        <v>Negativpunkte eingeben: Werte müssen im Bereich von -200 bis 0 liegen.</v>
      </c>
      <c r="G85" s="87"/>
      <c r="H85" s="88">
        <v>0</v>
      </c>
      <c r="I85" s="527">
        <f>H85*J81/50</f>
        <v>0</v>
      </c>
      <c r="J85" s="89">
        <f>-200*J81/50</f>
        <v>-205.12820512820511</v>
      </c>
    </row>
    <row r="86" spans="1:15" ht="33" customHeight="1">
      <c r="A86" s="13"/>
      <c r="B86" s="75" t="s">
        <v>88</v>
      </c>
      <c r="C86" s="76" t="str">
        <f>'12.lan'!D185</f>
        <v>Reduktion ökologischer Auswirkungen</v>
      </c>
      <c r="D86" s="77">
        <f>IF(K86="trifft nicht zu",C106,'9. Weighting'!O43)</f>
        <v>1</v>
      </c>
      <c r="E86" s="94" t="str">
        <f>VLOOKUP(D86,$C$102:$D$106,2,FALSE)</f>
        <v>mittel</v>
      </c>
      <c r="F86" s="91"/>
      <c r="G86" s="91"/>
      <c r="H86" s="80">
        <f>IF(J86&lt;&gt;0,SUM(I87:I89)/J86,"-")</f>
        <v>0</v>
      </c>
      <c r="I86" s="81">
        <f>IF(J86=0,0,H86*J86)</f>
        <v>0</v>
      </c>
      <c r="J86" s="81">
        <f>'9. Weighting'!O42</f>
        <v>51.282051282051277</v>
      </c>
      <c r="K86" s="63" t="str">
        <f>IF(AND(D87="trifft nicht zu",D88="trifft nicht zu"),"trifft nicht zu","")</f>
        <v/>
      </c>
      <c r="L86" s="11">
        <f>VLOOKUP(O86,$C$102:$E$106,3,FALSE)</f>
        <v>1</v>
      </c>
      <c r="M86" s="11">
        <f>VLOOKUP(D86,$C$102:$E$106,3,FALSE)</f>
        <v>1</v>
      </c>
      <c r="N86" s="82" t="str">
        <f>IF(L86=M86,"",'12.lan'!$D$240&amp;VLOOKUP(L86,$C$102:$D$106,2,FALSE)&amp;" ("&amp;L86&amp;")")</f>
        <v/>
      </c>
      <c r="O86" s="11">
        <f>IF(K86="trifft nicht zu",C106,'9. Weighting'!O43)</f>
        <v>1</v>
      </c>
    </row>
    <row r="87" spans="1:15" ht="30" customHeight="1">
      <c r="A87" s="13"/>
      <c r="B87" s="96" t="s">
        <v>89</v>
      </c>
      <c r="C87" s="83" t="str">
        <f>'12.lan'!D186</f>
        <v>Absolute Auswirkungen / Management &amp; Strategie</v>
      </c>
      <c r="D87" s="84">
        <f>C104</f>
        <v>1</v>
      </c>
      <c r="E87" s="97" t="str">
        <f>VLOOKUP(D87,$C$102:$D$106,2,FALSE)</f>
        <v>mittel</v>
      </c>
      <c r="F87" s="86" t="str">
        <f>'12.lan'!$D$329</f>
        <v>Skalenwert eingeben: Wert muss im Bereich von 0 bis 10 liegen.</v>
      </c>
      <c r="G87" s="87"/>
      <c r="H87" s="88">
        <v>0</v>
      </c>
      <c r="I87" s="527">
        <f>IFERROR(J87*H87/10,0)</f>
        <v>0</v>
      </c>
      <c r="J87" s="89">
        <f>IFERROR(J86*K87/SUM($K$87:$K$88),0)</f>
        <v>25.641025641025639</v>
      </c>
      <c r="K87" s="11">
        <f>VLOOKUP(D87,$C$102:$E$106,3,FALSE)</f>
        <v>1</v>
      </c>
      <c r="L87" s="11">
        <f>VLOOKUP(O87,$C$102:$E$106,3,FALSE)</f>
        <v>1</v>
      </c>
      <c r="M87" s="11">
        <f>VLOOKUP(D87,$C$102:$E$106,3,FALSE)</f>
        <v>1</v>
      </c>
      <c r="N87" s="82" t="str">
        <f>IF(L87=M87,"",'12.lan'!$D$240&amp;VLOOKUP(L87,$C$102:$D$106,2,FALSE)&amp;" ("&amp;L87&amp;")")</f>
        <v/>
      </c>
      <c r="O87" s="11">
        <f>C104</f>
        <v>1</v>
      </c>
    </row>
    <row r="88" spans="1:15" ht="30" customHeight="1">
      <c r="A88" s="13"/>
      <c r="B88" s="21" t="s">
        <v>90</v>
      </c>
      <c r="C88" s="30" t="str">
        <f>'12.lan'!D187</f>
        <v>Relative Auswirkungen</v>
      </c>
      <c r="D88" s="84">
        <f>C104</f>
        <v>1</v>
      </c>
      <c r="E88" s="97" t="str">
        <f>VLOOKUP(D88,$C$102:$D$106,2,FALSE)</f>
        <v>mittel</v>
      </c>
      <c r="F88" s="86" t="str">
        <f>'12.lan'!$D$329</f>
        <v>Skalenwert eingeben: Wert muss im Bereich von 0 bis 10 liegen.</v>
      </c>
      <c r="G88" s="87"/>
      <c r="H88" s="88">
        <v>0</v>
      </c>
      <c r="I88" s="527">
        <f>IFERROR(J88*H88/10,0)</f>
        <v>0</v>
      </c>
      <c r="J88" s="89">
        <f>IFERROR(J86*K88/SUM($K$87:$K$88),0)</f>
        <v>25.641025641025639</v>
      </c>
      <c r="K88" s="11">
        <f>VLOOKUP(D88,$C$102:$E$106,3,FALSE)</f>
        <v>1</v>
      </c>
      <c r="L88" s="11">
        <f>VLOOKUP(O88,$C$102:$E$106,3,FALSE)</f>
        <v>1</v>
      </c>
      <c r="M88" s="11">
        <f>VLOOKUP(D88,$C$102:$E$106,3,FALSE)</f>
        <v>1</v>
      </c>
      <c r="N88" s="82" t="str">
        <f>IF(L88=M88,"",'12.lan'!$D$240&amp;VLOOKUP(L88,$C$102:$D$106,2,FALSE)&amp;" ("&amp;L88&amp;")")</f>
        <v/>
      </c>
      <c r="O88" s="11">
        <f>C104</f>
        <v>1</v>
      </c>
    </row>
    <row r="89" spans="1:15" ht="33" customHeight="1">
      <c r="A89" s="13"/>
      <c r="B89" s="101" t="s">
        <v>91</v>
      </c>
      <c r="C89" s="100" t="str">
        <f>'12.lan'!D188</f>
        <v>Negativ-Aspekt: Verstöße gegen Umweltauflagen sowie unangemessene Umweltbelastungen</v>
      </c>
      <c r="D89" s="84"/>
      <c r="E89" s="97"/>
      <c r="F89" s="86" t="str">
        <f>'12.lan'!$D$330</f>
        <v>Negativpunkte eingeben: Werte müssen im Bereich von -200 bis 0 liegen.</v>
      </c>
      <c r="G89" s="87"/>
      <c r="H89" s="88">
        <v>0</v>
      </c>
      <c r="I89" s="527">
        <f>H89*J86/50</f>
        <v>0</v>
      </c>
      <c r="J89" s="89">
        <f>-200*J86/50</f>
        <v>-205.12820512820511</v>
      </c>
    </row>
    <row r="90" spans="1:15" ht="33" customHeight="1">
      <c r="A90" s="13"/>
      <c r="B90" s="75" t="s">
        <v>92</v>
      </c>
      <c r="C90" s="76" t="str">
        <f>'12.lan'!D189</f>
        <v>Transparenz und gesellschaftliche Mitentscheidung</v>
      </c>
      <c r="D90" s="77">
        <f>IF(K90="trifft nicht zu",C106,'9. Weighting'!P43)</f>
        <v>1</v>
      </c>
      <c r="E90" s="94" t="str">
        <f>VLOOKUP(D90,$C$102:$D$106,2,FALSE)</f>
        <v>mittel</v>
      </c>
      <c r="F90" s="91"/>
      <c r="G90" s="91"/>
      <c r="H90" s="80">
        <f>IF(J90&lt;&gt;0,SUM(I91:I93)/J90,"-")</f>
        <v>0</v>
      </c>
      <c r="I90" s="81">
        <f>IF(J90=0,0,H90*J90)</f>
        <v>0</v>
      </c>
      <c r="J90" s="81">
        <f>'9. Weighting'!P42</f>
        <v>51.282051282051277</v>
      </c>
      <c r="K90" s="63" t="str">
        <f>IF(AND(D91="trifft nicht zu",D92="trifft nicht zu"),"trifft nicht zu","")</f>
        <v/>
      </c>
      <c r="L90" s="11">
        <f>VLOOKUP(O90,$C$102:$E$106,3,FALSE)</f>
        <v>1</v>
      </c>
      <c r="M90" s="11">
        <f>VLOOKUP(D90,$C$102:$E$106,3,FALSE)</f>
        <v>1</v>
      </c>
      <c r="N90" s="82" t="str">
        <f>IF(L90=M90,"",'12.lan'!$D$240&amp;VLOOKUP(L90,$C$102:$D$106,2,FALSE)&amp;" ("&amp;L90&amp;")")</f>
        <v/>
      </c>
      <c r="O90" s="11">
        <f>IF(K90="trifft nicht zu",C106,'9. Weighting'!P43)</f>
        <v>1</v>
      </c>
    </row>
    <row r="91" spans="1:15" ht="30" customHeight="1">
      <c r="A91" s="13"/>
      <c r="B91" s="96" t="s">
        <v>93</v>
      </c>
      <c r="C91" s="83" t="str">
        <f>'12.lan'!D190</f>
        <v>Transparenz</v>
      </c>
      <c r="D91" s="84">
        <v>1</v>
      </c>
      <c r="E91" s="97" t="str">
        <f>VLOOKUP(D91,$C$102:$D$106,2,FALSE)</f>
        <v>mittel</v>
      </c>
      <c r="F91" s="86" t="str">
        <f>'12.lan'!$D$329</f>
        <v>Skalenwert eingeben: Wert muss im Bereich von 0 bis 10 liegen.</v>
      </c>
      <c r="G91" s="87"/>
      <c r="H91" s="88">
        <v>0</v>
      </c>
      <c r="I91" s="527">
        <f>IFERROR(J91*H91/10,0)</f>
        <v>0</v>
      </c>
      <c r="J91" s="89">
        <f>IFERROR($J$90*K91/SUM($K$91:$K$92),0)</f>
        <v>25.641025641025639</v>
      </c>
      <c r="K91" s="11">
        <f>VLOOKUP(D91,$C$102:$E$106,3,FALSE)</f>
        <v>1</v>
      </c>
      <c r="L91" s="11">
        <f>VLOOKUP(O91,$C$102:$E$106,3,FALSE)</f>
        <v>1</v>
      </c>
      <c r="M91" s="11">
        <f>VLOOKUP(D91,$C$102:$E$106,3,FALSE)</f>
        <v>1</v>
      </c>
      <c r="N91" s="82" t="str">
        <f>IF(L91=M91,"",'12.lan'!$D$240&amp;VLOOKUP(L91,$C$102:$D$106,2,FALSE)&amp;" ("&amp;L91&amp;")")</f>
        <v/>
      </c>
      <c r="O91" s="11">
        <f>C104</f>
        <v>1</v>
      </c>
    </row>
    <row r="92" spans="1:15" ht="30" customHeight="1">
      <c r="A92" s="13"/>
      <c r="B92" s="96" t="s">
        <v>94</v>
      </c>
      <c r="C92" s="83" t="str">
        <f>'12.lan'!D191</f>
        <v>Gesellschaftliche Mitbestimmung</v>
      </c>
      <c r="D92" s="84">
        <f>C104</f>
        <v>1</v>
      </c>
      <c r="E92" s="97" t="str">
        <f>VLOOKUP(D92,$C$102:$D$106,2,FALSE)</f>
        <v>mittel</v>
      </c>
      <c r="F92" s="86" t="str">
        <f>'12.lan'!$D$329</f>
        <v>Skalenwert eingeben: Wert muss im Bereich von 0 bis 10 liegen.</v>
      </c>
      <c r="G92" s="87"/>
      <c r="H92" s="88">
        <v>0</v>
      </c>
      <c r="I92" s="527">
        <f>IFERROR(J92*H92/10,0)</f>
        <v>0</v>
      </c>
      <c r="J92" s="89">
        <f>IFERROR($J$90*K92/SUM($K$91:$K$92),0)</f>
        <v>25.641025641025639</v>
      </c>
      <c r="K92" s="11">
        <f>VLOOKUP(D92,$C$102:$E$106,3,FALSE)</f>
        <v>1</v>
      </c>
      <c r="L92" s="11">
        <f>VLOOKUP(O92,$C$102:$E$106,3,FALSE)</f>
        <v>1</v>
      </c>
      <c r="M92" s="11">
        <f>VLOOKUP(D92,$C$102:$E$106,3,FALSE)</f>
        <v>1</v>
      </c>
      <c r="N92" s="82" t="str">
        <f>IF(L92=M92,"",'12.lan'!$D$240&amp;VLOOKUP(L92,$C$102:$D$106,2,FALSE)&amp;" ("&amp;L92&amp;")")</f>
        <v/>
      </c>
      <c r="O92" s="11">
        <f>C104</f>
        <v>1</v>
      </c>
    </row>
    <row r="93" spans="1:15" ht="33.75" customHeight="1">
      <c r="A93" s="13"/>
      <c r="B93" s="96" t="s">
        <v>95</v>
      </c>
      <c r="C93" s="83" t="str">
        <f>'12.lan'!D192</f>
        <v>Negativ-Aspekt: Förderung von Intransparenz und bewusste Fehlinformation</v>
      </c>
      <c r="D93" s="84"/>
      <c r="E93" s="97"/>
      <c r="F93" s="86" t="str">
        <f>'12.lan'!$D$330</f>
        <v>Negativpunkte eingeben: Werte müssen im Bereich von -200 bis 0 liegen.</v>
      </c>
      <c r="G93" s="87"/>
      <c r="H93" s="88">
        <v>0</v>
      </c>
      <c r="I93" s="527">
        <f>H93*J90/50</f>
        <v>0</v>
      </c>
      <c r="J93" s="89">
        <f>-200*J90/50</f>
        <v>-205.12820512820511</v>
      </c>
    </row>
    <row r="94" spans="1:15" ht="12.75" customHeight="1">
      <c r="A94" s="13"/>
      <c r="B94" s="14"/>
      <c r="C94" s="22"/>
      <c r="D94" s="56"/>
      <c r="E94" s="56"/>
      <c r="F94" s="14"/>
      <c r="G94" s="14"/>
      <c r="H94" s="56"/>
      <c r="I94" s="57"/>
      <c r="J94" s="58"/>
    </row>
    <row r="95" spans="1:15" ht="18.75" customHeight="1">
      <c r="A95" s="13"/>
      <c r="B95" s="560" t="str">
        <f>'12.lan'!D92</f>
        <v>BILANZSUMME:</v>
      </c>
      <c r="C95" s="560"/>
      <c r="D95" s="560"/>
      <c r="E95" s="560"/>
      <c r="F95" s="560"/>
      <c r="G95" s="560"/>
      <c r="H95" s="561">
        <f>H4</f>
        <v>0</v>
      </c>
      <c r="I95" s="562">
        <f>I4</f>
        <v>0</v>
      </c>
      <c r="J95" s="562">
        <f>J4</f>
        <v>1000</v>
      </c>
    </row>
    <row r="96" spans="1:15" ht="18" customHeight="1">
      <c r="A96" s="13"/>
      <c r="B96" s="560"/>
      <c r="C96" s="560"/>
      <c r="D96" s="560"/>
      <c r="E96" s="560"/>
      <c r="F96" s="560"/>
      <c r="G96" s="560"/>
      <c r="H96" s="561"/>
      <c r="I96" s="562"/>
      <c r="J96" s="562"/>
    </row>
    <row r="102" spans="2:5" ht="12.75" hidden="1" customHeight="1">
      <c r="B102" s="51">
        <v>2</v>
      </c>
      <c r="C102" s="52">
        <v>2</v>
      </c>
      <c r="D102" s="53" t="str">
        <f>'12.lan'!D97</f>
        <v>sehr hoch</v>
      </c>
      <c r="E102" s="54">
        <v>2</v>
      </c>
    </row>
    <row r="103" spans="2:5" ht="12.75" hidden="1" customHeight="1">
      <c r="B103" s="51">
        <v>1.5</v>
      </c>
      <c r="C103" s="52">
        <v>1.5</v>
      </c>
      <c r="D103" s="53" t="str">
        <f>'12.lan'!D98</f>
        <v>hoch</v>
      </c>
      <c r="E103" s="109">
        <v>1.5</v>
      </c>
    </row>
    <row r="104" spans="2:5" ht="12.75" hidden="1" customHeight="1">
      <c r="B104" s="51">
        <v>1</v>
      </c>
      <c r="C104" s="52">
        <v>1</v>
      </c>
      <c r="D104" s="53" t="str">
        <f>'12.lan'!D99</f>
        <v>mittel</v>
      </c>
      <c r="E104" s="54">
        <v>1</v>
      </c>
    </row>
    <row r="105" spans="2:5" ht="12.75" hidden="1" customHeight="1">
      <c r="B105" s="51">
        <v>0.5</v>
      </c>
      <c r="C105" s="52">
        <v>0.5</v>
      </c>
      <c r="D105" s="53" t="str">
        <f>'12.lan'!D100</f>
        <v>niedrig</v>
      </c>
      <c r="E105" s="109">
        <v>0.5</v>
      </c>
    </row>
    <row r="106" spans="2:5" ht="12.75" hidden="1" customHeight="1">
      <c r="B106" s="51">
        <v>0</v>
      </c>
      <c r="C106" s="52">
        <v>0</v>
      </c>
      <c r="D106" s="53" t="str">
        <f>'12.lan'!D101</f>
        <v>trifft nicht zu</v>
      </c>
      <c r="E106" s="54">
        <v>0</v>
      </c>
    </row>
    <row r="107" spans="2:5" ht="12.75" hidden="1" customHeight="1"/>
  </sheetData>
  <sheetProtection algorithmName="SHA-512" hashValue="LjWtWdlMr+nEdkE5am6IDjvOjCv/ph8BLkavSiSueQZsdj/Bk/j0ooYAyc7doGjHIKofdoLNkOatRiX13pgW7Q==" saltValue="rQ+BzY5JO3YOkWoXVhRsaQ==" spinCount="100000" sheet="1" objects="1" scenarios="1"/>
  <mergeCells count="14">
    <mergeCell ref="B7:J7"/>
    <mergeCell ref="D8:E8"/>
    <mergeCell ref="B95:G96"/>
    <mergeCell ref="H95:H96"/>
    <mergeCell ref="I95:I96"/>
    <mergeCell ref="J95:J96"/>
    <mergeCell ref="B2:C2"/>
    <mergeCell ref="H2:J3"/>
    <mergeCell ref="B3:D4"/>
    <mergeCell ref="F4:F5"/>
    <mergeCell ref="H4:H5"/>
    <mergeCell ref="I4:I5"/>
    <mergeCell ref="J4:J5"/>
    <mergeCell ref="B5:D5"/>
  </mergeCells>
  <conditionalFormatting sqref="H4:H5">
    <cfRule type="cellIs" dxfId="14" priority="9" operator="lessThan">
      <formula>0</formula>
    </cfRule>
  </conditionalFormatting>
  <conditionalFormatting sqref="H10">
    <cfRule type="cellIs" dxfId="13" priority="7" operator="lessThan">
      <formula>0</formula>
    </cfRule>
  </conditionalFormatting>
  <conditionalFormatting sqref="H13">
    <cfRule type="cellIs" dxfId="12" priority="6" operator="lessThan">
      <formula>0</formula>
    </cfRule>
  </conditionalFormatting>
  <conditionalFormatting sqref="H17">
    <cfRule type="cellIs" dxfId="11" priority="5" operator="lessThan">
      <formula>0</formula>
    </cfRule>
  </conditionalFormatting>
  <conditionalFormatting sqref="H20">
    <cfRule type="cellIs" dxfId="10" priority="4" operator="lessThan">
      <formula>0</formula>
    </cfRule>
  </conditionalFormatting>
  <conditionalFormatting sqref="H28 H31 H35 H44 H49 H54 H59:H60 H64 H68 H72 H81 H86 H90 H76:H77 H38:H39 H23:H24">
    <cfRule type="cellIs" dxfId="9" priority="3" operator="lessThan">
      <formula>0</formula>
    </cfRule>
  </conditionalFormatting>
  <conditionalFormatting sqref="H95:H96">
    <cfRule type="cellIs" dxfId="8" priority="2" operator="lessThan">
      <formula>0</formula>
    </cfRule>
  </conditionalFormatting>
  <conditionalFormatting sqref="H9">
    <cfRule type="cellIs" dxfId="7" priority="1" operator="lessThan">
      <formula>0</formula>
    </cfRule>
  </conditionalFormatting>
  <dataValidations count="7">
    <dataValidation type="list" operator="equal" allowBlank="1" showInputMessage="1" showErrorMessage="1" promptTitle="Gewichtung" sqref="D10 D13:D15 D17 D20:D22 D24:D28 D31:D33 D35 D39:D42 D44:D47 D49:D52 D54:D57 D60:D62 D64:D66 D68:D70 D72:D74 D77:D79 D81:D83 D86:D88 D90:D92" xr:uid="{00000000-0002-0000-0300-000000000000}">
      <formula1>$C$102:$C$106</formula1>
      <formula2>0</formula2>
    </dataValidation>
    <dataValidation operator="equal" allowBlank="1" showInputMessage="1" showErrorMessage="1" promptTitle="Gewichtung" sqref="D11:D12 D16 D18:D19 E10:E22 E24:E28 D30:E30 E31:E37 D34 D36:D37 E39:E58 D43 D48 D53 D58 E60:E75 D63 D67 D71 D75 E77:E93 D80 D84:D85 D89 D93" xr:uid="{00000000-0002-0000-0300-000001000000}">
      <formula1>0</formula1>
      <formula2>0</formula2>
    </dataValidation>
    <dataValidation type="decimal" allowBlank="1" showInputMessage="1" showErrorMessage="1" errorTitle="Value" error="Value has to be between 0 and 10." sqref="H11 H14:H15 H18 H25:H27 H21:H22 H29 H32:H33 H36 H40:H42 H45:H47 H50:H52 H55:H57 H61:H62 H65:H66 H69:H70 H73:H74 H78:H79 H82:H83 H87:H88 H91:H92" xr:uid="{D7754F01-D2DE-40D6-9090-EF54FCC3F280}">
      <formula1>0</formula1>
      <formula2>10</formula2>
    </dataValidation>
    <dataValidation type="decimal" allowBlank="1" showErrorMessage="1" errorTitle="Value" error="Value has to be between -200 and 0." sqref="H93 H89 H84:H85 H80 H75 H71 H67 H63 H58 H53 H48 H43 H37 H34 H30 H19 H16 H12" xr:uid="{19E50D16-2E99-47AE-A971-8A481D86DAA1}">
      <formula1>-200</formula1>
      <formula2>0</formula2>
    </dataValidation>
    <dataValidation type="list" allowBlank="1" showInputMessage="1" showErrorMessage="1" sqref="D9" xr:uid="{5FF6F0D4-18C0-45A7-BA7D-1ECA4E706647}">
      <formula1>C102:C106</formula1>
    </dataValidation>
    <dataValidation type="list" allowBlank="1" showInputMessage="1" showErrorMessage="1" sqref="D23" xr:uid="{64E92B76-2DE6-4F7A-A99F-452B0998E202}">
      <formula1>C102:C106</formula1>
    </dataValidation>
    <dataValidation type="list" allowBlank="1" showInputMessage="1" showErrorMessage="1" sqref="D38 D59 D76" xr:uid="{1D88AB2A-370C-4412-9744-79DCB1DC3E1F}">
      <formula1>$C$102:$C$106</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10" activePane="bottomRight" state="frozen"/>
      <selection pane="topRight" activeCell="C1" sqref="C1"/>
      <selection pane="bottomLeft" activeCell="A30" sqref="A30"/>
      <selection pane="bottomRight" activeCell="N12" sqref="N12"/>
    </sheetView>
  </sheetViews>
  <sheetFormatPr baseColWidth="10" defaultColWidth="10.33203125" defaultRowHeight="12" customHeight="1"/>
  <cols>
    <col min="1" max="2" width="1.33203125" style="110" customWidth="1"/>
    <col min="3" max="4" width="2.33203125" style="110" customWidth="1"/>
    <col min="5" max="5" width="8.33203125" style="110" customWidth="1"/>
    <col min="6" max="6" width="40.88671875" style="110" customWidth="1"/>
    <col min="7" max="7" width="27.33203125" style="110" customWidth="1"/>
    <col min="8" max="8" width="17.33203125" style="110" customWidth="1"/>
    <col min="9" max="9" width="12.33203125" style="110" customWidth="1"/>
    <col min="10" max="10" width="36.33203125" style="110" customWidth="1"/>
    <col min="11" max="11" width="12.6640625" style="110" customWidth="1"/>
    <col min="12" max="12" width="3.33203125" style="110" customWidth="1"/>
    <col min="13" max="15" width="13.33203125" style="111" customWidth="1"/>
    <col min="16" max="16" width="14.33203125" style="111" customWidth="1"/>
    <col min="17" max="17" width="1.33203125" style="110" customWidth="1"/>
    <col min="18" max="18" width="10.33203125" style="110" customWidth="1"/>
    <col min="19" max="25" width="10.33203125" style="112" customWidth="1"/>
    <col min="26" max="16384" width="10.33203125" style="110"/>
  </cols>
  <sheetData>
    <row r="1" spans="1:18" ht="6.75" customHeight="1">
      <c r="A1" s="112"/>
      <c r="B1" s="112"/>
      <c r="C1" s="112"/>
      <c r="D1" s="112"/>
      <c r="E1" s="112"/>
      <c r="F1" s="112"/>
      <c r="G1" s="112"/>
      <c r="H1" s="112"/>
      <c r="I1" s="112"/>
      <c r="J1" s="112"/>
      <c r="K1" s="112"/>
      <c r="L1" s="112"/>
      <c r="M1" s="113"/>
      <c r="N1" s="113"/>
      <c r="O1" s="113"/>
      <c r="P1" s="113"/>
      <c r="Q1" s="112"/>
      <c r="R1" s="112"/>
    </row>
    <row r="2" spans="1:18" ht="7.5" customHeight="1">
      <c r="A2" s="112"/>
      <c r="B2" s="114"/>
      <c r="C2" s="114"/>
      <c r="D2" s="114"/>
      <c r="E2" s="114"/>
      <c r="F2" s="112"/>
      <c r="G2" s="112"/>
      <c r="H2" s="112"/>
      <c r="I2" s="112"/>
      <c r="J2" s="112"/>
      <c r="K2" s="112"/>
      <c r="L2" s="112"/>
      <c r="M2" s="113"/>
      <c r="N2" s="113"/>
      <c r="O2" s="113"/>
      <c r="P2" s="113"/>
      <c r="Q2" s="112"/>
      <c r="R2" s="112"/>
    </row>
    <row r="3" spans="1:18" ht="6.75" customHeight="1">
      <c r="A3" s="112"/>
      <c r="B3" s="115"/>
      <c r="C3" s="116"/>
      <c r="D3" s="117"/>
      <c r="E3" s="117"/>
      <c r="F3" s="117"/>
      <c r="G3" s="117"/>
      <c r="H3" s="117"/>
      <c r="I3" s="117"/>
      <c r="J3" s="117"/>
      <c r="K3" s="117"/>
      <c r="L3" s="117"/>
      <c r="M3" s="118"/>
      <c r="N3" s="118"/>
      <c r="O3" s="118"/>
      <c r="P3" s="118"/>
      <c r="Q3" s="119"/>
      <c r="R3" s="112"/>
    </row>
    <row r="4" spans="1:18" ht="42" customHeight="1">
      <c r="A4" s="112"/>
      <c r="B4" s="120"/>
      <c r="C4" s="121"/>
      <c r="D4" s="122"/>
      <c r="E4" s="567" t="s">
        <v>96</v>
      </c>
      <c r="F4" s="567"/>
      <c r="G4" s="567"/>
      <c r="H4" s="567"/>
      <c r="I4" s="567"/>
      <c r="J4" s="567"/>
      <c r="K4" s="568" t="s">
        <v>97</v>
      </c>
      <c r="L4" s="568"/>
      <c r="M4" s="563" t="s">
        <v>98</v>
      </c>
      <c r="N4" s="563" t="s">
        <v>99</v>
      </c>
      <c r="O4" s="563" t="s">
        <v>100</v>
      </c>
      <c r="P4" s="563" t="s">
        <v>101</v>
      </c>
      <c r="Q4" s="123"/>
      <c r="R4" s="112"/>
    </row>
    <row r="5" spans="1:18" ht="24.75" customHeight="1">
      <c r="A5" s="112"/>
      <c r="B5" s="124" t="s">
        <v>102</v>
      </c>
      <c r="C5" s="125"/>
      <c r="D5" s="124"/>
      <c r="E5" s="567"/>
      <c r="F5" s="567"/>
      <c r="G5" s="567"/>
      <c r="H5" s="567"/>
      <c r="I5" s="567"/>
      <c r="J5" s="567"/>
      <c r="K5" s="568"/>
      <c r="L5" s="568"/>
      <c r="M5" s="563"/>
      <c r="N5" s="563"/>
      <c r="O5" s="563"/>
      <c r="P5" s="563"/>
      <c r="Q5" s="123"/>
      <c r="R5" s="112"/>
    </row>
    <row r="6" spans="1:18" ht="12.75" customHeight="1">
      <c r="A6" s="112"/>
      <c r="B6" s="124" t="s">
        <v>103</v>
      </c>
      <c r="C6" s="125"/>
      <c r="D6" s="124"/>
      <c r="E6" s="567"/>
      <c r="F6" s="567"/>
      <c r="G6" s="567"/>
      <c r="H6" s="567"/>
      <c r="I6" s="567"/>
      <c r="J6" s="567"/>
      <c r="K6" s="568"/>
      <c r="L6" s="568"/>
      <c r="M6" s="563"/>
      <c r="N6" s="563"/>
      <c r="O6" s="563"/>
      <c r="P6" s="563"/>
      <c r="Q6" s="123"/>
      <c r="R6" s="112"/>
    </row>
    <row r="7" spans="1:18" ht="41.25" customHeight="1">
      <c r="A7" s="112"/>
      <c r="B7" s="124"/>
      <c r="C7" s="125"/>
      <c r="D7" s="124"/>
      <c r="E7" s="126"/>
      <c r="F7" s="564"/>
      <c r="G7" s="564"/>
      <c r="H7" s="565" t="s">
        <v>104</v>
      </c>
      <c r="I7" s="565"/>
      <c r="J7" s="127" t="s">
        <v>105</v>
      </c>
      <c r="K7" s="568"/>
      <c r="L7" s="568"/>
      <c r="M7" s="563"/>
      <c r="N7" s="563"/>
      <c r="O7" s="563"/>
      <c r="P7" s="563"/>
      <c r="Q7" s="123"/>
      <c r="R7" s="112"/>
    </row>
    <row r="8" spans="1:18" ht="57" customHeight="1">
      <c r="A8" s="112"/>
      <c r="B8" s="128"/>
      <c r="C8" s="129"/>
      <c r="D8" s="128"/>
      <c r="E8" s="130"/>
      <c r="F8" s="566" t="s">
        <v>106</v>
      </c>
      <c r="G8" s="566"/>
      <c r="H8" s="566"/>
      <c r="I8" s="566"/>
      <c r="J8" s="566"/>
      <c r="K8" s="131"/>
      <c r="L8" s="131"/>
      <c r="M8" s="563"/>
      <c r="N8" s="563"/>
      <c r="O8" s="563"/>
      <c r="P8" s="563"/>
      <c r="Q8" s="123"/>
      <c r="R8" s="112"/>
    </row>
    <row r="9" spans="1:18" ht="15" customHeight="1">
      <c r="A9" s="112"/>
      <c r="B9" s="128"/>
      <c r="C9" s="129"/>
      <c r="D9" s="128"/>
      <c r="E9" s="130"/>
      <c r="F9" s="432"/>
      <c r="G9" s="432"/>
      <c r="H9" s="432"/>
      <c r="I9" s="432"/>
      <c r="J9" s="432"/>
      <c r="K9" s="131"/>
      <c r="L9" s="131"/>
      <c r="M9" s="132">
        <f>M15+M23+M29+M36+M42</f>
        <v>256.41025641025641</v>
      </c>
      <c r="N9" s="132">
        <f>N15+N23+N29+N36+N42</f>
        <v>256.41025641025641</v>
      </c>
      <c r="O9" s="132">
        <f>O15+O23+O29+O36+O42</f>
        <v>256.41025641025641</v>
      </c>
      <c r="P9" s="132">
        <f>P15+P23+P29+P36+P42</f>
        <v>230.76923076923075</v>
      </c>
      <c r="Q9" s="123"/>
      <c r="R9" s="112"/>
    </row>
    <row r="10" spans="1:18" ht="21" customHeight="1">
      <c r="A10" s="112"/>
      <c r="B10" s="569"/>
      <c r="C10" s="133"/>
      <c r="D10" s="134"/>
      <c r="E10" s="135"/>
      <c r="F10" s="570" t="s">
        <v>107</v>
      </c>
      <c r="G10" s="570"/>
      <c r="H10" s="570"/>
      <c r="I10" s="136">
        <f>'2. Company Facts'!C7</f>
        <v>0</v>
      </c>
      <c r="J10" s="571" t="s">
        <v>108</v>
      </c>
      <c r="K10" s="572">
        <f>K49</f>
        <v>1</v>
      </c>
      <c r="L10" s="573">
        <f>M15+N15+O15+P15</f>
        <v>179.48717948717947</v>
      </c>
      <c r="M10" s="574" t="s">
        <v>13</v>
      </c>
      <c r="N10" s="575" t="s">
        <v>16</v>
      </c>
      <c r="O10" s="575" t="s">
        <v>20</v>
      </c>
      <c r="P10" s="576" t="s">
        <v>23</v>
      </c>
      <c r="Q10" s="137"/>
      <c r="R10" s="112"/>
    </row>
    <row r="11" spans="1:18" ht="13.5" customHeight="1">
      <c r="A11" s="112"/>
      <c r="B11" s="569"/>
      <c r="C11" s="138"/>
      <c r="D11" s="139"/>
      <c r="E11" s="140"/>
      <c r="F11" s="577"/>
      <c r="G11" s="577"/>
      <c r="H11" s="577"/>
      <c r="I11" s="577"/>
      <c r="J11" s="571"/>
      <c r="K11" s="572"/>
      <c r="L11" s="572"/>
      <c r="M11" s="574"/>
      <c r="N11" s="575"/>
      <c r="O11" s="575"/>
      <c r="P11" s="576"/>
      <c r="Q11" s="123"/>
      <c r="R11" s="112"/>
    </row>
    <row r="12" spans="1:18" ht="21.75" customHeight="1">
      <c r="A12" s="112"/>
      <c r="B12" s="569"/>
      <c r="C12" s="129"/>
      <c r="D12" s="128"/>
      <c r="E12" s="140" t="s">
        <v>109</v>
      </c>
      <c r="F12" s="141" t="s">
        <v>110</v>
      </c>
      <c r="G12" s="142" t="s">
        <v>111</v>
      </c>
      <c r="H12" s="142" t="s">
        <v>112</v>
      </c>
      <c r="I12" s="141" t="s">
        <v>113</v>
      </c>
      <c r="J12" s="571"/>
      <c r="K12" s="572"/>
      <c r="L12" s="572"/>
      <c r="M12" s="143"/>
      <c r="N12" s="144"/>
      <c r="O12" s="144"/>
      <c r="P12" s="145"/>
      <c r="Q12" s="123"/>
      <c r="R12" s="112"/>
    </row>
    <row r="13" spans="1:18" ht="15" customHeight="1">
      <c r="A13" s="112"/>
      <c r="B13" s="569"/>
      <c r="C13" s="129"/>
      <c r="D13" s="128"/>
      <c r="E13" s="140" t="str">
        <f>LEFT(F13,2)</f>
        <v>Bi</v>
      </c>
      <c r="F13" s="146" t="str">
        <f>'2. Company Facts'!B10</f>
        <v>Bitte Auswählen</v>
      </c>
      <c r="G13" s="147" t="str">
        <f>'2. Company Facts'!C10</f>
        <v>bitte einfügen</v>
      </c>
      <c r="H13" s="147" t="str">
        <f>'2. Company Facts'!D10</f>
        <v>Bitte Auswählen</v>
      </c>
      <c r="I13" s="148">
        <f>'2. Company Facts'!F10</f>
        <v>0</v>
      </c>
      <c r="J13" s="571"/>
      <c r="K13" s="572"/>
      <c r="L13" s="572"/>
      <c r="M13" s="149"/>
      <c r="N13" s="150"/>
      <c r="O13" s="150"/>
      <c r="P13" s="151"/>
      <c r="Q13" s="123"/>
      <c r="R13" s="112"/>
    </row>
    <row r="14" spans="1:18" ht="15" customHeight="1">
      <c r="A14" s="112"/>
      <c r="B14" s="569"/>
      <c r="C14" s="152"/>
      <c r="D14" s="153"/>
      <c r="E14" s="140" t="str">
        <f>LEFT(F14,2)</f>
        <v>Bi</v>
      </c>
      <c r="F14" s="154" t="str">
        <f>'2. Company Facts'!B11</f>
        <v>Bitte Auswählen</v>
      </c>
      <c r="G14" s="155" t="str">
        <f>'2. Company Facts'!C11</f>
        <v>bitte einfügen</v>
      </c>
      <c r="H14" s="155" t="str">
        <f>'2. Company Facts'!D11</f>
        <v>Bitte Auswählen</v>
      </c>
      <c r="I14" s="156">
        <f>'2. Company Facts'!F11</f>
        <v>0</v>
      </c>
      <c r="J14" s="571"/>
      <c r="K14" s="572"/>
      <c r="L14" s="572"/>
      <c r="M14" s="157">
        <f>'3. Calc'!D10</f>
        <v>1</v>
      </c>
      <c r="N14" s="158">
        <f>'3. Calc'!D13</f>
        <v>1</v>
      </c>
      <c r="O14" s="159">
        <f>'3. Calc'!D17</f>
        <v>1</v>
      </c>
      <c r="P14" s="160">
        <f>'3. Calc'!D20</f>
        <v>0.5</v>
      </c>
      <c r="Q14" s="161">
        <f>'11.Region'!U10</f>
        <v>0</v>
      </c>
      <c r="R14" s="112"/>
    </row>
    <row r="15" spans="1:18" ht="15" customHeight="1">
      <c r="A15" s="112"/>
      <c r="B15" s="153"/>
      <c r="C15" s="152"/>
      <c r="D15" s="153"/>
      <c r="E15" s="140" t="str">
        <f>LEFT(F15,2)</f>
        <v>Bi</v>
      </c>
      <c r="F15" s="162" t="str">
        <f>'2. Company Facts'!B12</f>
        <v>Bitte Auswählen</v>
      </c>
      <c r="G15" s="155" t="str">
        <f>'2. Company Facts'!C12</f>
        <v>bitte einfügen</v>
      </c>
      <c r="H15" s="155" t="str">
        <f>'2. Company Facts'!D12</f>
        <v>Bitte Auswählen</v>
      </c>
      <c r="I15" s="156">
        <f>'2. Company Facts'!F12</f>
        <v>0</v>
      </c>
      <c r="J15" s="571"/>
      <c r="K15" s="572"/>
      <c r="L15" s="572"/>
      <c r="M15" s="163">
        <f>M49</f>
        <v>51.282051282051277</v>
      </c>
      <c r="N15" s="164">
        <f>N49</f>
        <v>51.282051282051277</v>
      </c>
      <c r="O15" s="164">
        <f>O49</f>
        <v>51.282051282051277</v>
      </c>
      <c r="P15" s="165">
        <f>P49</f>
        <v>25.641025641025639</v>
      </c>
      <c r="Q15" s="161"/>
      <c r="R15" s="112"/>
    </row>
    <row r="16" spans="1:18" ht="15" customHeight="1" thickBot="1">
      <c r="A16" s="112"/>
      <c r="B16" s="124"/>
      <c r="C16" s="125"/>
      <c r="D16" s="124"/>
      <c r="E16" s="140" t="str">
        <f>LEFT(F16,2)</f>
        <v>Bi</v>
      </c>
      <c r="F16" s="162" t="str">
        <f>'2. Company Facts'!B13</f>
        <v>Bitte Auswählen</v>
      </c>
      <c r="G16" s="155" t="str">
        <f>'2. Company Facts'!C13</f>
        <v>bitte einfügen</v>
      </c>
      <c r="H16" s="155" t="str">
        <f>'2. Company Facts'!D13</f>
        <v>Bitte Auswählen</v>
      </c>
      <c r="I16" s="156">
        <f>'2. Company Facts'!F13</f>
        <v>0</v>
      </c>
      <c r="J16" s="571"/>
      <c r="K16" s="572"/>
      <c r="L16" s="572"/>
      <c r="M16" s="166">
        <f>'3. Calc'!C104</f>
        <v>1</v>
      </c>
      <c r="N16" s="167">
        <f>'3. Calc'!C104</f>
        <v>1</v>
      </c>
      <c r="O16" s="167">
        <f>IFERROR(IF('11.Region'!N8&gt;1.5,'3. Calc'!C102,IF('11.Region'!N8&gt;1.25,'3. Calc'!C103,IF('11.Region'!N8&lt;0.75,'3. Calc'!C105,'3. Calc'!C104))),'3. Calc'!C104)</f>
        <v>1</v>
      </c>
      <c r="P16" s="168">
        <f>IF('11.Region'!I9&lt;1.5,'3. Calc'!C105,IF('11.Region'!I9&lt;3.26,'3. Calc'!C104,IF('11.Region'!I9&lt;4.5,'3. Calc'!C103,'3. Calc'!C102)))</f>
        <v>0.5</v>
      </c>
      <c r="Q16" s="161"/>
      <c r="R16" s="112"/>
    </row>
    <row r="17" spans="1:18" ht="15" customHeight="1" thickBot="1">
      <c r="A17" s="112"/>
      <c r="B17" s="124"/>
      <c r="C17" s="125"/>
      <c r="D17" s="124"/>
      <c r="E17" s="140" t="str">
        <f>LEFT(F17,2)</f>
        <v>Bi</v>
      </c>
      <c r="F17" s="169" t="str">
        <f>'2. Company Facts'!B14</f>
        <v>Bitte Auswählen</v>
      </c>
      <c r="G17" s="170" t="str">
        <f>'2. Company Facts'!C14</f>
        <v>bitte einfügen</v>
      </c>
      <c r="H17" s="155" t="str">
        <f>'2. Company Facts'!D14</f>
        <v>Bitte Auswählen</v>
      </c>
      <c r="I17" s="156">
        <f>'2. Company Facts'!F14</f>
        <v>0</v>
      </c>
      <c r="J17" s="571"/>
      <c r="K17" s="572"/>
      <c r="L17" s="572"/>
      <c r="M17" s="149"/>
      <c r="N17" s="150"/>
      <c r="O17" s="150"/>
      <c r="P17" s="151"/>
      <c r="Q17" s="161"/>
      <c r="R17" s="112"/>
    </row>
    <row r="18" spans="1:18" ht="15.75" customHeight="1" thickTop="1" thickBot="1">
      <c r="A18" s="112"/>
      <c r="B18" s="172"/>
      <c r="C18" s="173"/>
      <c r="D18" s="174"/>
      <c r="E18" s="175"/>
      <c r="F18" s="176" t="s">
        <v>114</v>
      </c>
      <c r="G18" s="176"/>
      <c r="H18" s="428" t="str">
        <f>'2. Company Facts'!D15</f>
        <v>Bitte Auswählen</v>
      </c>
      <c r="I18" s="171">
        <f>'2. Company Facts'!F15</f>
        <v>0</v>
      </c>
      <c r="J18" s="571"/>
      <c r="K18" s="572"/>
      <c r="L18" s="572"/>
      <c r="M18" s="177"/>
      <c r="N18" s="178"/>
      <c r="O18" s="178"/>
      <c r="P18" s="179"/>
      <c r="Q18" s="180"/>
      <c r="R18" s="112"/>
    </row>
    <row r="19" spans="1:18" ht="13.5" customHeight="1" thickTop="1" thickBot="1">
      <c r="A19" s="112"/>
      <c r="B19" s="153"/>
      <c r="C19" s="152"/>
      <c r="D19" s="153"/>
      <c r="E19" s="140"/>
      <c r="F19" s="582" t="s">
        <v>115</v>
      </c>
      <c r="G19" s="582"/>
      <c r="H19" s="582"/>
      <c r="I19" s="181">
        <f>'2. Company Facts'!C18</f>
        <v>0</v>
      </c>
      <c r="J19" s="583" t="s">
        <v>116</v>
      </c>
      <c r="K19" s="584">
        <f>K50</f>
        <v>1</v>
      </c>
      <c r="L19" s="573">
        <f>M23+N23+O23+P23</f>
        <v>205.12820512820511</v>
      </c>
      <c r="M19" s="585" t="s">
        <v>27</v>
      </c>
      <c r="N19" s="578" t="s">
        <v>31</v>
      </c>
      <c r="O19" s="578" t="s">
        <v>34</v>
      </c>
      <c r="P19" s="579" t="s">
        <v>38</v>
      </c>
      <c r="Q19" s="161"/>
      <c r="R19" s="112"/>
    </row>
    <row r="20" spans="1:18" ht="15" customHeight="1">
      <c r="A20" s="112"/>
      <c r="B20" s="153"/>
      <c r="C20" s="152"/>
      <c r="D20" s="153"/>
      <c r="E20" s="140"/>
      <c r="F20" s="580" t="s">
        <v>117</v>
      </c>
      <c r="G20" s="580"/>
      <c r="H20" s="580"/>
      <c r="I20" s="182" t="str">
        <f>IFERROR(I19/I32,"-")</f>
        <v>-</v>
      </c>
      <c r="J20" s="583"/>
      <c r="K20" s="584"/>
      <c r="L20" s="584"/>
      <c r="M20" s="585"/>
      <c r="N20" s="578" t="s">
        <v>118</v>
      </c>
      <c r="O20" s="578"/>
      <c r="P20" s="579" t="s">
        <v>119</v>
      </c>
      <c r="Q20" s="161"/>
      <c r="R20" s="112"/>
    </row>
    <row r="21" spans="1:18" ht="15" customHeight="1">
      <c r="A21" s="112"/>
      <c r="B21" s="153"/>
      <c r="C21" s="152"/>
      <c r="D21" s="153"/>
      <c r="E21" s="140"/>
      <c r="F21" s="581" t="s">
        <v>120</v>
      </c>
      <c r="G21" s="581"/>
      <c r="H21" s="581"/>
      <c r="I21" s="183">
        <f>'2. Company Facts'!C19</f>
        <v>0</v>
      </c>
      <c r="J21" s="583"/>
      <c r="K21" s="584"/>
      <c r="L21" s="584"/>
      <c r="M21" s="143"/>
      <c r="N21" s="144"/>
      <c r="O21" s="144"/>
      <c r="P21" s="145"/>
      <c r="Q21" s="161"/>
      <c r="R21" s="112"/>
    </row>
    <row r="22" spans="1:18" ht="15" customHeight="1">
      <c r="A22" s="112"/>
      <c r="B22" s="120"/>
      <c r="C22" s="184"/>
      <c r="D22" s="120"/>
      <c r="E22" s="185">
        <f>IFERROR((G24+I24)/I23,0.2)</f>
        <v>0.2</v>
      </c>
      <c r="F22" s="186" t="s">
        <v>121</v>
      </c>
      <c r="G22" s="586" t="s">
        <v>122</v>
      </c>
      <c r="H22" s="586"/>
      <c r="I22" s="187">
        <f>'2. Company Facts'!C20</f>
        <v>0</v>
      </c>
      <c r="J22" s="583"/>
      <c r="K22" s="584"/>
      <c r="L22" s="584"/>
      <c r="M22" s="188">
        <f>'3. Calc'!D24</f>
        <v>1</v>
      </c>
      <c r="N22" s="189">
        <f>'3. Calc'!D28</f>
        <v>1</v>
      </c>
      <c r="O22" s="189">
        <f>'3. Calc'!D31</f>
        <v>1</v>
      </c>
      <c r="P22" s="190">
        <f>'3. Calc'!D35</f>
        <v>1</v>
      </c>
      <c r="Q22" s="191"/>
      <c r="R22" s="112"/>
    </row>
    <row r="23" spans="1:18" ht="15" customHeight="1">
      <c r="A23" s="112"/>
      <c r="B23" s="120"/>
      <c r="C23" s="184"/>
      <c r="D23" s="120"/>
      <c r="E23" s="192">
        <f>IFERROR(I32/I23,0.3)</f>
        <v>0.3</v>
      </c>
      <c r="F23" s="186" t="s">
        <v>123</v>
      </c>
      <c r="G23" s="581" t="s">
        <v>124</v>
      </c>
      <c r="H23" s="581"/>
      <c r="I23" s="193">
        <f>'2. Company Facts'!C21</f>
        <v>0</v>
      </c>
      <c r="J23" s="583"/>
      <c r="K23" s="584"/>
      <c r="L23" s="584"/>
      <c r="M23" s="163">
        <f>M50</f>
        <v>51.282051282051277</v>
      </c>
      <c r="N23" s="164">
        <f>N50</f>
        <v>51.282051282051277</v>
      </c>
      <c r="O23" s="164">
        <f>O50</f>
        <v>51.282051282051277</v>
      </c>
      <c r="P23" s="165">
        <f>P50</f>
        <v>51.282051282051277</v>
      </c>
      <c r="Q23" s="191"/>
      <c r="R23" s="112"/>
    </row>
    <row r="24" spans="1:18" ht="15.75" customHeight="1">
      <c r="A24" s="112"/>
      <c r="B24" s="194"/>
      <c r="C24" s="195"/>
      <c r="D24" s="196"/>
      <c r="E24" s="175"/>
      <c r="F24" s="197" t="s">
        <v>125</v>
      </c>
      <c r="G24" s="181">
        <f>'2. Company Facts'!C22</f>
        <v>0</v>
      </c>
      <c r="H24" s="197" t="s">
        <v>126</v>
      </c>
      <c r="I24" s="198">
        <f>'2. Company Facts'!C23</f>
        <v>0</v>
      </c>
      <c r="J24" s="583"/>
      <c r="K24" s="584"/>
      <c r="L24" s="584"/>
      <c r="M24" s="199">
        <f>IFERROR(IF(H35='10. Industry'!A22,'3. Calc'!C102,IF(E23&lt;0.1,'3. Calc'!C103,IF(E23&gt;0.5,'3. Calc'!C105,'3. Calc'!C104))),'3. Calc'!C104)</f>
        <v>1</v>
      </c>
      <c r="N24" s="200">
        <f>IFERROR(IF(I20="-",'3. Calc'!C104,IF(I20&gt;0.1,'3. Calc'!C103,IF(I20&lt;0.001,'3. Calc'!C106,IF(I20&lt;0.03,'3. Calc'!C105,'3. Calc'!C104)))),'3. Calc'!C104)</f>
        <v>1</v>
      </c>
      <c r="O24" s="200">
        <f>IFERROR(IF(H35='10. Industry'!A22,'3. Calc'!C102,IF(E22&lt;0.1,'3. Calc'!C105,IF(E22&gt;0.25,'3. Calc'!C103,'3. Calc'!C104))),'3. Calc'!C104)</f>
        <v>1</v>
      </c>
      <c r="P24" s="201">
        <f>IF(H40="Kleinstunternehmen",'3. Calc'!C105,'3. Calc'!C104)</f>
        <v>1</v>
      </c>
      <c r="Q24" s="202"/>
      <c r="R24" s="112"/>
    </row>
    <row r="25" spans="1:18" ht="12" customHeight="1">
      <c r="A25" s="112"/>
      <c r="B25" s="194"/>
      <c r="C25" s="203"/>
      <c r="D25" s="204"/>
      <c r="E25" s="140"/>
      <c r="F25" s="582" t="s">
        <v>127</v>
      </c>
      <c r="G25" s="582"/>
      <c r="H25" s="582"/>
      <c r="I25" s="205">
        <f>'2. Company Facts'!C27</f>
        <v>0</v>
      </c>
      <c r="J25" s="583" t="s">
        <v>128</v>
      </c>
      <c r="K25" s="584">
        <f>K51</f>
        <v>1</v>
      </c>
      <c r="L25" s="573">
        <f>M29+N29+O29+P29</f>
        <v>205.12820512820511</v>
      </c>
      <c r="M25" s="588" t="s">
        <v>42</v>
      </c>
      <c r="N25" s="587" t="s">
        <v>47</v>
      </c>
      <c r="O25" s="578" t="s">
        <v>52</v>
      </c>
      <c r="P25" s="579" t="s">
        <v>57</v>
      </c>
      <c r="Q25" s="191"/>
      <c r="R25" s="112"/>
    </row>
    <row r="26" spans="1:18" ht="15" customHeight="1">
      <c r="A26" s="112"/>
      <c r="B26" s="194"/>
      <c r="C26" s="203"/>
      <c r="D26" s="204"/>
      <c r="E26" s="140"/>
      <c r="F26" s="581" t="s">
        <v>129</v>
      </c>
      <c r="G26" s="581"/>
      <c r="H26" s="581"/>
      <c r="I26" s="206">
        <f>'2. Company Facts'!C26</f>
        <v>0</v>
      </c>
      <c r="J26" s="583"/>
      <c r="K26" s="584"/>
      <c r="L26" s="584"/>
      <c r="M26" s="588"/>
      <c r="N26" s="587"/>
      <c r="O26" s="578" t="s">
        <v>130</v>
      </c>
      <c r="P26" s="579" t="s">
        <v>131</v>
      </c>
      <c r="Q26" s="191"/>
      <c r="R26" s="112"/>
    </row>
    <row r="27" spans="1:18" ht="12" customHeight="1">
      <c r="A27" s="112"/>
      <c r="B27" s="194"/>
      <c r="C27" s="203"/>
      <c r="D27" s="204"/>
      <c r="E27" s="140"/>
      <c r="F27" s="207"/>
      <c r="G27" s="435" t="s">
        <v>132</v>
      </c>
      <c r="H27" s="208" t="str">
        <f>'2. Company Facts'!B30</f>
        <v>Bitte Auswählen</v>
      </c>
      <c r="I27" s="209">
        <f>'2. Company Facts'!D30</f>
        <v>0</v>
      </c>
      <c r="J27" s="583"/>
      <c r="K27" s="584"/>
      <c r="L27" s="584"/>
      <c r="M27" s="143"/>
      <c r="N27" s="144"/>
      <c r="O27" s="144"/>
      <c r="P27" s="145"/>
      <c r="Q27" s="191"/>
      <c r="R27" s="112"/>
    </row>
    <row r="28" spans="1:18" ht="15" customHeight="1">
      <c r="A28" s="112"/>
      <c r="B28" s="124"/>
      <c r="C28" s="184"/>
      <c r="D28" s="120"/>
      <c r="E28" s="140"/>
      <c r="F28" s="207"/>
      <c r="G28" s="435" t="s">
        <v>133</v>
      </c>
      <c r="H28" s="210" t="str">
        <f>'2. Company Facts'!B31</f>
        <v>Bitte Auswählen</v>
      </c>
      <c r="I28" s="211">
        <f>'2. Company Facts'!D31</f>
        <v>0</v>
      </c>
      <c r="J28" s="583"/>
      <c r="K28" s="584"/>
      <c r="L28" s="584"/>
      <c r="M28" s="188">
        <f>'3. Calc'!D39</f>
        <v>1</v>
      </c>
      <c r="N28" s="189">
        <f>'3. Calc'!D44</f>
        <v>1</v>
      </c>
      <c r="O28" s="189">
        <f>'3. Calc'!D49</f>
        <v>1</v>
      </c>
      <c r="P28" s="190">
        <f>'3. Calc'!D54</f>
        <v>1</v>
      </c>
      <c r="Q28" s="191"/>
      <c r="R28" s="112"/>
    </row>
    <row r="29" spans="1:18" ht="15" customHeight="1">
      <c r="A29" s="112"/>
      <c r="B29" s="124"/>
      <c r="C29" s="184"/>
      <c r="D29" s="120"/>
      <c r="E29" s="140"/>
      <c r="F29" s="207"/>
      <c r="G29" s="435" t="s">
        <v>133</v>
      </c>
      <c r="H29" s="212" t="str">
        <f>'2. Company Facts'!B32</f>
        <v>Bitte Auswählen</v>
      </c>
      <c r="I29" s="213">
        <f>'2. Company Facts'!D32</f>
        <v>0</v>
      </c>
      <c r="J29" s="583"/>
      <c r="K29" s="584"/>
      <c r="L29" s="584"/>
      <c r="M29" s="163">
        <f>M51</f>
        <v>51.282051282051277</v>
      </c>
      <c r="N29" s="164">
        <f>N51</f>
        <v>51.282051282051277</v>
      </c>
      <c r="O29" s="164">
        <f>O51</f>
        <v>51.282051282051277</v>
      </c>
      <c r="P29" s="165">
        <f>P51</f>
        <v>51.282051282051277</v>
      </c>
      <c r="Q29" s="191"/>
      <c r="R29" s="112"/>
    </row>
    <row r="30" spans="1:18" ht="15" customHeight="1">
      <c r="A30" s="112"/>
      <c r="B30" s="124"/>
      <c r="C30" s="184"/>
      <c r="D30" s="120"/>
      <c r="E30" s="140"/>
      <c r="F30" s="581" t="s">
        <v>134</v>
      </c>
      <c r="G30" s="581"/>
      <c r="H30" s="581"/>
      <c r="I30" s="214">
        <f>'2. Company Facts'!C33</f>
        <v>0</v>
      </c>
      <c r="J30" s="583"/>
      <c r="K30" s="584"/>
      <c r="L30" s="584"/>
      <c r="M30" s="166">
        <f>'3. Calc'!C104</f>
        <v>1</v>
      </c>
      <c r="N30" s="166">
        <f>'3. Calc'!C104</f>
        <v>1</v>
      </c>
      <c r="O30" s="167">
        <f>IF(AND(OR(I31="Nein",I31="No",I31="Nao",I31="Pas"),I30&lt;10),'3. Calc'!C105,IF(I30&gt;25,'3. Calc'!C103,'3. Calc'!C104))</f>
        <v>1</v>
      </c>
      <c r="P30" s="168">
        <f>IF(I26=1,'3. Calc'!C106,IF(H40="Kleinstunternehmen",'3. Calc'!C105,IF('11.Region'!I14&gt;3.25,'3. Calc'!C103,'3. Calc'!C104)))</f>
        <v>1</v>
      </c>
      <c r="Q30" s="191"/>
      <c r="R30" s="112"/>
    </row>
    <row r="31" spans="1:18" ht="15.75" customHeight="1">
      <c r="A31" s="112"/>
      <c r="B31" s="194"/>
      <c r="C31" s="195"/>
      <c r="D31" s="196"/>
      <c r="E31" s="175"/>
      <c r="F31" s="589" t="s">
        <v>135</v>
      </c>
      <c r="G31" s="589"/>
      <c r="H31" s="589"/>
      <c r="I31" s="215">
        <f>'2. Company Facts'!C34</f>
        <v>0</v>
      </c>
      <c r="J31" s="583"/>
      <c r="K31" s="584"/>
      <c r="L31" s="584"/>
      <c r="M31" s="177"/>
      <c r="N31" s="178"/>
      <c r="O31" s="178"/>
      <c r="P31" s="179"/>
      <c r="Q31" s="202"/>
      <c r="R31" s="112"/>
    </row>
    <row r="32" spans="1:18" ht="12.75" customHeight="1">
      <c r="A32" s="112"/>
      <c r="B32" s="194"/>
      <c r="C32" s="203"/>
      <c r="D32" s="204"/>
      <c r="E32" s="140"/>
      <c r="F32" s="590" t="s">
        <v>136</v>
      </c>
      <c r="G32" s="590"/>
      <c r="H32" s="590"/>
      <c r="I32" s="216">
        <f>'2. Company Facts'!C37</f>
        <v>0</v>
      </c>
      <c r="J32" s="583" t="s">
        <v>137</v>
      </c>
      <c r="K32" s="584">
        <v>1</v>
      </c>
      <c r="L32" s="573">
        <f>M36+N36+O36+P36</f>
        <v>205.12820512820511</v>
      </c>
      <c r="M32" s="591" t="s">
        <v>63</v>
      </c>
      <c r="N32" s="592" t="s">
        <v>67</v>
      </c>
      <c r="O32" s="575" t="s">
        <v>71</v>
      </c>
      <c r="P32" s="576" t="s">
        <v>75</v>
      </c>
      <c r="Q32" s="191"/>
      <c r="R32" s="112"/>
    </row>
    <row r="33" spans="1:19" ht="15" customHeight="1">
      <c r="A33" s="112"/>
      <c r="B33" s="194"/>
      <c r="C33" s="203"/>
      <c r="D33" s="204"/>
      <c r="E33" s="140"/>
      <c r="F33" s="433"/>
      <c r="G33" s="433"/>
      <c r="H33" s="433" t="s">
        <v>138</v>
      </c>
      <c r="I33" s="217">
        <f>'2. Company Facts'!C38</f>
        <v>0</v>
      </c>
      <c r="J33" s="583"/>
      <c r="K33" s="584"/>
      <c r="L33" s="584"/>
      <c r="M33" s="591"/>
      <c r="N33" s="592"/>
      <c r="O33" s="575"/>
      <c r="P33" s="576"/>
      <c r="Q33" s="191"/>
      <c r="R33" s="112"/>
    </row>
    <row r="34" spans="1:19" ht="23.25" customHeight="1">
      <c r="A34" s="112"/>
      <c r="B34" s="194"/>
      <c r="C34" s="203"/>
      <c r="D34" s="204"/>
      <c r="E34" s="140"/>
      <c r="F34" s="141" t="s">
        <v>110</v>
      </c>
      <c r="G34" s="141" t="s">
        <v>111</v>
      </c>
      <c r="H34" s="436" t="s">
        <v>139</v>
      </c>
      <c r="I34" s="434" t="s">
        <v>140</v>
      </c>
      <c r="J34" s="583"/>
      <c r="K34" s="584"/>
      <c r="L34" s="584"/>
      <c r="M34" s="143"/>
      <c r="N34" s="144"/>
      <c r="O34" s="144"/>
      <c r="P34" s="145"/>
      <c r="Q34" s="191"/>
      <c r="R34" s="112"/>
    </row>
    <row r="35" spans="1:19" ht="15" customHeight="1">
      <c r="A35" s="112"/>
      <c r="B35" s="194"/>
      <c r="C35" s="203"/>
      <c r="D35" s="204"/>
      <c r="E35" s="140"/>
      <c r="F35" s="218" t="str">
        <f>'2. Company Facts'!B41</f>
        <v>Bitte Auswählen</v>
      </c>
      <c r="G35" s="219">
        <f>'2. Company Facts'!C41</f>
        <v>0</v>
      </c>
      <c r="H35" s="436" t="str">
        <f>LEFT(F35,2)</f>
        <v>Bi</v>
      </c>
      <c r="I35" s="220">
        <f>'2. Company Facts'!D41</f>
        <v>0</v>
      </c>
      <c r="J35" s="583"/>
      <c r="K35" s="584"/>
      <c r="L35" s="584"/>
      <c r="M35" s="188">
        <f>'3. Calc'!D60</f>
        <v>1</v>
      </c>
      <c r="N35" s="189">
        <f>'3. Calc'!D64</f>
        <v>1</v>
      </c>
      <c r="O35" s="189">
        <f>'3. Calc'!D68</f>
        <v>1</v>
      </c>
      <c r="P35" s="190">
        <f>'3. Calc'!D72</f>
        <v>1</v>
      </c>
      <c r="Q35" s="191"/>
      <c r="R35" s="112"/>
    </row>
    <row r="36" spans="1:19" ht="15" customHeight="1">
      <c r="A36" s="112"/>
      <c r="B36" s="194"/>
      <c r="C36" s="203"/>
      <c r="D36" s="204"/>
      <c r="E36" s="140"/>
      <c r="F36" s="221" t="str">
        <f>'2. Company Facts'!B42</f>
        <v>Bitte Auswählen</v>
      </c>
      <c r="G36" s="222">
        <f>'2. Company Facts'!C42</f>
        <v>0</v>
      </c>
      <c r="H36" s="436" t="str">
        <f>LEFT(F36,2)</f>
        <v>Bi</v>
      </c>
      <c r="I36" s="223">
        <f>'2. Company Facts'!D42</f>
        <v>0</v>
      </c>
      <c r="J36" s="583"/>
      <c r="K36" s="584"/>
      <c r="L36" s="584"/>
      <c r="M36" s="163">
        <f>M52</f>
        <v>51.282051282051277</v>
      </c>
      <c r="N36" s="164">
        <f>N52</f>
        <v>51.282051282051277</v>
      </c>
      <c r="O36" s="164">
        <f>O52</f>
        <v>51.282051282051277</v>
      </c>
      <c r="P36" s="165">
        <f>P52</f>
        <v>51.282051282051277</v>
      </c>
      <c r="Q36" s="191"/>
      <c r="R36" s="112"/>
    </row>
    <row r="37" spans="1:19" ht="15.75" customHeight="1">
      <c r="A37" s="112"/>
      <c r="B37" s="224"/>
      <c r="C37" s="225"/>
      <c r="D37" s="226"/>
      <c r="E37" s="175"/>
      <c r="F37" s="227" t="str">
        <f>'2. Company Facts'!B43</f>
        <v>Bitte Auswählen</v>
      </c>
      <c r="G37" s="228">
        <f>'2. Company Facts'!C43</f>
        <v>0</v>
      </c>
      <c r="H37" s="436" t="str">
        <f>LEFT(F37,2)</f>
        <v>Bi</v>
      </c>
      <c r="I37" s="229">
        <f>'2. Company Facts'!D43</f>
        <v>0</v>
      </c>
      <c r="J37" s="583"/>
      <c r="K37" s="584"/>
      <c r="L37" s="584"/>
      <c r="M37" s="199">
        <f>'3. Calc'!C104</f>
        <v>1</v>
      </c>
      <c r="N37" s="199">
        <f>'3. Calc'!C104</f>
        <v>1</v>
      </c>
      <c r="O37" s="200">
        <f>VLOOKUP(S37,'3. Calc'!$B$102:$C$106,2,FALSE)</f>
        <v>1</v>
      </c>
      <c r="P37" s="201">
        <f>IFERROR(IF(I33="Ja",'3. Calc'!C103,'3. Calc'!C104),'3. Calc'!C104)</f>
        <v>1</v>
      </c>
      <c r="Q37" s="202"/>
      <c r="R37" s="112"/>
      <c r="S37" s="230">
        <f>VLOOKUP('10. Industry'!J39,F49:H53,3,FALSE)</f>
        <v>1</v>
      </c>
    </row>
    <row r="38" spans="1:19" ht="20.25" customHeight="1">
      <c r="A38" s="112"/>
      <c r="B38" s="224"/>
      <c r="C38" s="231"/>
      <c r="D38" s="224"/>
      <c r="E38" s="140"/>
      <c r="F38" s="140"/>
      <c r="G38" s="140"/>
      <c r="H38" s="140"/>
      <c r="I38" s="140"/>
      <c r="J38" s="571" t="s">
        <v>141</v>
      </c>
      <c r="K38" s="584">
        <v>1</v>
      </c>
      <c r="L38" s="573">
        <f>M42+N42+O42+P42</f>
        <v>205.12820512820511</v>
      </c>
      <c r="M38" s="588" t="s">
        <v>79</v>
      </c>
      <c r="N38" s="578" t="s">
        <v>83</v>
      </c>
      <c r="O38" s="578" t="s">
        <v>88</v>
      </c>
      <c r="P38" s="579" t="s">
        <v>92</v>
      </c>
      <c r="Q38" s="191"/>
      <c r="R38" s="112"/>
    </row>
    <row r="39" spans="1:19" ht="20.25" customHeight="1">
      <c r="A39" s="112"/>
      <c r="B39" s="224"/>
      <c r="C39" s="231"/>
      <c r="D39" s="224"/>
      <c r="E39" s="140"/>
      <c r="F39" s="140"/>
      <c r="G39" s="140"/>
      <c r="H39" s="140" t="str">
        <f>IF(AND(I26&lt;10,OR(I32&lt;=2000000,I23&lt;=2000000)),'12.lan'!D324,IF(AND(I26&lt;50,OR(I32&lt;=10000000,I23&lt;=10000000)),'12.lan'!D325,IF(AND(I26&lt;250,OR(I32&lt;=50000000,I23&lt;=43000000)),'12.lan'!D326,'12.lan'!D327)))</f>
        <v>Kleinstunternehmen</v>
      </c>
      <c r="I39" s="140"/>
      <c r="J39" s="571"/>
      <c r="K39" s="584"/>
      <c r="L39" s="584"/>
      <c r="M39" s="588"/>
      <c r="N39" s="578"/>
      <c r="O39" s="578"/>
      <c r="P39" s="579"/>
      <c r="Q39" s="191"/>
      <c r="R39" s="112"/>
    </row>
    <row r="40" spans="1:19" ht="15" customHeight="1">
      <c r="A40" s="112"/>
      <c r="B40" s="224"/>
      <c r="C40" s="231"/>
      <c r="D40" s="224"/>
      <c r="E40" s="140"/>
      <c r="F40" s="140" t="s">
        <v>142</v>
      </c>
      <c r="G40" s="140"/>
      <c r="H40" s="140" t="str">
        <f>IF(AND(I26=0,I32=0,I23=0),'12.lan'!E326)</f>
        <v>Mittleres Unternehmen</v>
      </c>
      <c r="I40" s="140"/>
      <c r="J40" s="571"/>
      <c r="K40" s="584"/>
      <c r="L40" s="584"/>
      <c r="M40" s="143"/>
      <c r="N40" s="143"/>
      <c r="O40" s="143"/>
      <c r="P40" s="145"/>
      <c r="Q40" s="191"/>
      <c r="R40" s="112"/>
    </row>
    <row r="41" spans="1:19" ht="14.25" customHeight="1">
      <c r="A41" s="112"/>
      <c r="B41" s="224"/>
      <c r="C41" s="231"/>
      <c r="D41" s="224"/>
      <c r="E41" s="140"/>
      <c r="F41" s="140"/>
      <c r="G41" s="140"/>
      <c r="H41" s="140"/>
      <c r="I41" s="140"/>
      <c r="J41" s="571"/>
      <c r="K41" s="584"/>
      <c r="L41" s="584"/>
      <c r="M41" s="188">
        <f>'3. Calc'!D77</f>
        <v>1</v>
      </c>
      <c r="N41" s="189">
        <f>'3. Calc'!D81</f>
        <v>1</v>
      </c>
      <c r="O41" s="189">
        <f>'3. Calc'!D86</f>
        <v>1</v>
      </c>
      <c r="P41" s="190">
        <f>'3. Calc'!D90</f>
        <v>1</v>
      </c>
      <c r="Q41" s="191"/>
      <c r="R41" s="112"/>
    </row>
    <row r="42" spans="1:19" ht="15.75" customHeight="1">
      <c r="A42" s="112"/>
      <c r="B42" s="224"/>
      <c r="C42" s="225"/>
      <c r="D42" s="226"/>
      <c r="E42" s="175"/>
      <c r="F42" s="175"/>
      <c r="G42" s="175"/>
      <c r="H42" s="175"/>
      <c r="I42" s="175"/>
      <c r="J42" s="571"/>
      <c r="K42" s="584"/>
      <c r="L42" s="584"/>
      <c r="M42" s="232">
        <f>M53</f>
        <v>51.282051282051277</v>
      </c>
      <c r="N42" s="233">
        <f>N53</f>
        <v>51.282051282051277</v>
      </c>
      <c r="O42" s="233">
        <f>O53</f>
        <v>51.282051282051277</v>
      </c>
      <c r="P42" s="234">
        <f>P53</f>
        <v>51.282051282051277</v>
      </c>
      <c r="Q42" s="202"/>
      <c r="R42" s="112"/>
    </row>
    <row r="43" spans="1:19" ht="12.75" customHeight="1">
      <c r="A43" s="112"/>
      <c r="B43" s="114"/>
      <c r="C43" s="114"/>
      <c r="D43" s="114"/>
      <c r="E43" s="114"/>
      <c r="F43" s="114"/>
      <c r="G43" s="114"/>
      <c r="H43" s="114"/>
      <c r="I43" s="114"/>
      <c r="J43" s="114"/>
      <c r="K43" s="114"/>
      <c r="L43" s="114"/>
      <c r="M43" s="235">
        <f>'3. Calc'!C104</f>
        <v>1</v>
      </c>
      <c r="N43" s="235">
        <f>IF(I20="-",'3. Calc'!C104,IF(I20&lt;0.05,'3. Calc'!C105,IF(I20&lt;0.1,'3. Calc'!C104,IF(I20&gt;0.1,'3. Calc'!C103,'3. Calc'!C104))))</f>
        <v>1</v>
      </c>
      <c r="O43" s="235">
        <f>VLOOKUP(S37,'3. Calc'!$B$102:$C$106,2,FALSE)</f>
        <v>1</v>
      </c>
      <c r="P43" s="235">
        <f>IF(H35="B",'3. Calc'!C103,IF(H35="F",'3. Calc'!C103,IF(H40="Kleinstunternehmen",'3. Calc'!C105,IF(H40="Kleinunternehmen",'3. Calc'!C105,'3. Calc'!C104))))</f>
        <v>1</v>
      </c>
      <c r="Q43" s="114"/>
      <c r="R43" s="112"/>
      <c r="S43" s="112">
        <f>VLOOKUP('10. Industry'!L39,F49:H53,3,FALSE)</f>
        <v>1</v>
      </c>
    </row>
    <row r="44" spans="1:19" ht="24" customHeight="1">
      <c r="A44" s="112"/>
      <c r="B44" s="117"/>
      <c r="C44" s="117"/>
      <c r="D44" s="117"/>
      <c r="E44" s="117"/>
      <c r="F44" s="117"/>
      <c r="G44" s="117"/>
      <c r="H44" s="117"/>
      <c r="I44" s="117"/>
      <c r="J44" s="117"/>
      <c r="K44" s="117"/>
      <c r="L44" s="117"/>
      <c r="M44" s="117"/>
      <c r="N44" s="117"/>
      <c r="O44" s="117"/>
      <c r="P44" s="117"/>
      <c r="Q44" s="119"/>
      <c r="R44" s="112"/>
    </row>
    <row r="45" spans="1:19" ht="16.5" customHeight="1">
      <c r="A45" s="112"/>
      <c r="B45" s="128"/>
      <c r="C45" s="128"/>
      <c r="D45" s="128"/>
      <c r="E45" s="128"/>
      <c r="F45" s="128"/>
      <c r="G45" s="128"/>
      <c r="H45" s="128"/>
      <c r="I45" s="128"/>
      <c r="J45" s="128"/>
      <c r="K45" s="128"/>
      <c r="L45" s="128"/>
      <c r="M45" s="595" t="s">
        <v>143</v>
      </c>
      <c r="N45" s="595" t="s">
        <v>144</v>
      </c>
      <c r="O45" s="595" t="s">
        <v>100</v>
      </c>
      <c r="P45" s="595" t="s">
        <v>145</v>
      </c>
      <c r="Q45" s="123"/>
      <c r="R45" s="112"/>
    </row>
    <row r="46" spans="1:19" ht="24.75" customHeight="1">
      <c r="A46" s="112"/>
      <c r="B46" s="128"/>
      <c r="C46" s="128"/>
      <c r="D46" s="128"/>
      <c r="E46" s="128"/>
      <c r="F46" s="128"/>
      <c r="G46" s="128"/>
      <c r="H46" s="128"/>
      <c r="I46" s="128"/>
      <c r="J46" s="128"/>
      <c r="K46" s="128"/>
      <c r="L46" s="128"/>
      <c r="M46" s="595"/>
      <c r="N46" s="595"/>
      <c r="O46" s="595"/>
      <c r="P46" s="595"/>
      <c r="Q46" s="123"/>
      <c r="R46" s="112"/>
    </row>
    <row r="47" spans="1:19" ht="24.75" customHeight="1">
      <c r="A47" s="112"/>
      <c r="B47" s="128"/>
      <c r="C47" s="128"/>
      <c r="D47" s="128"/>
      <c r="E47" s="128"/>
      <c r="F47" s="128"/>
      <c r="G47" s="128"/>
      <c r="H47" s="128"/>
      <c r="I47" s="128"/>
      <c r="J47" s="128"/>
      <c r="K47" s="128"/>
      <c r="L47" s="128"/>
      <c r="M47" s="437"/>
      <c r="N47" s="437"/>
      <c r="O47" s="437"/>
      <c r="P47" s="437"/>
      <c r="Q47" s="123"/>
      <c r="R47" s="112"/>
    </row>
    <row r="48" spans="1:19" ht="26.25" customHeight="1">
      <c r="A48" s="112"/>
      <c r="B48" s="128"/>
      <c r="C48" s="128"/>
      <c r="D48" s="128"/>
      <c r="F48" s="140" t="s">
        <v>146</v>
      </c>
      <c r="G48" s="140"/>
      <c r="H48" s="140"/>
      <c r="I48" s="139"/>
      <c r="J48" s="139"/>
      <c r="K48" s="128"/>
      <c r="L48" s="128"/>
      <c r="M48" s="436"/>
      <c r="N48" s="436"/>
      <c r="O48" s="436"/>
      <c r="P48" s="436"/>
      <c r="Q48" s="123"/>
      <c r="R48" s="113" t="s">
        <v>3043</v>
      </c>
    </row>
    <row r="49" spans="1:25" ht="18.75" customHeight="1">
      <c r="A49" s="112"/>
      <c r="B49" s="236"/>
      <c r="C49" s="236"/>
      <c r="D49" s="236"/>
      <c r="E49" s="236"/>
      <c r="F49" s="236" t="s">
        <v>147</v>
      </c>
      <c r="G49" s="237"/>
      <c r="H49" s="238">
        <v>0</v>
      </c>
      <c r="I49" s="239">
        <f>IFERROR((60*'11.Region'!G3/('11.Region'!G3+'11.Region'!G10+(I19+I21+I22+G24))*5),100)</f>
        <v>100</v>
      </c>
      <c r="J49" s="239">
        <f>IF(I49&lt;60,60,IF(I49&gt;300,300,I49))</f>
        <v>100</v>
      </c>
      <c r="K49" s="593">
        <f>IFERROR(IF(J49=60,0.5,IF(J49=300,2,IF(J49&lt;180,1,1.5))),1)</f>
        <v>1</v>
      </c>
      <c r="L49" s="593"/>
      <c r="M49" s="240">
        <f t="shared" ref="M49:P53" si="0">M62/$Q$67*1000</f>
        <v>51.282051282051277</v>
      </c>
      <c r="N49" s="240">
        <f t="shared" si="0"/>
        <v>51.282051282051277</v>
      </c>
      <c r="O49" s="240">
        <f t="shared" si="0"/>
        <v>51.282051282051277</v>
      </c>
      <c r="P49" s="240">
        <f t="shared" si="0"/>
        <v>25.641025641025639</v>
      </c>
      <c r="Q49" s="241">
        <f>SUM(M49:P49)</f>
        <v>179.48717948717947</v>
      </c>
      <c r="R49" s="113">
        <f>'3. Calc'!D9</f>
        <v>1</v>
      </c>
    </row>
    <row r="50" spans="1:25" ht="18.75" customHeight="1">
      <c r="A50" s="112"/>
      <c r="B50" s="140"/>
      <c r="C50" s="140"/>
      <c r="D50" s="140"/>
      <c r="E50" s="140"/>
      <c r="F50" s="140" t="s">
        <v>148</v>
      </c>
      <c r="G50" s="242"/>
      <c r="H50" s="140">
        <v>0.5</v>
      </c>
      <c r="I50" s="239">
        <f>IFERROR((60*(I19+I21+I22+G24)/('11.Region'!G3+'11.Region'!G10+(I19+I21+I22+G24))*10),100)</f>
        <v>100</v>
      </c>
      <c r="J50" s="239">
        <f>IF(I50&lt;60,60,IF(I50&gt;300,300,I50))</f>
        <v>100</v>
      </c>
      <c r="K50" s="593">
        <f>IFERROR(IF(J50=60,0.5,IF(J50=300,2,IF(J50&lt;180,1,1.5))),1)</f>
        <v>1</v>
      </c>
      <c r="L50" s="593"/>
      <c r="M50" s="240">
        <f t="shared" si="0"/>
        <v>51.282051282051277</v>
      </c>
      <c r="N50" s="240">
        <f t="shared" si="0"/>
        <v>51.282051282051277</v>
      </c>
      <c r="O50" s="240">
        <f t="shared" si="0"/>
        <v>51.282051282051277</v>
      </c>
      <c r="P50" s="240">
        <f t="shared" si="0"/>
        <v>51.282051282051277</v>
      </c>
      <c r="Q50" s="241">
        <f>SUM(M50:P50)</f>
        <v>205.12820512820511</v>
      </c>
      <c r="R50" s="113">
        <f>'3. Calc'!D23</f>
        <v>1</v>
      </c>
    </row>
    <row r="51" spans="1:25" ht="18.75" customHeight="1">
      <c r="A51" s="112"/>
      <c r="B51" s="140"/>
      <c r="C51" s="140"/>
      <c r="D51" s="140"/>
      <c r="E51" s="140"/>
      <c r="F51" s="140" t="s">
        <v>149</v>
      </c>
      <c r="G51" s="242"/>
      <c r="H51" s="140">
        <v>1</v>
      </c>
      <c r="I51" s="239">
        <f>IFERROR((60*'11.Region'!G10/('11.Region'!G3+'11.Region'!G10+(I19+I21+I22+G24))*10),100)</f>
        <v>100</v>
      </c>
      <c r="J51" s="239">
        <f>IF(I51&lt;60,60,IF(I51&gt;300,300,I51))</f>
        <v>100</v>
      </c>
      <c r="K51" s="593">
        <f>IFERROR(IF(J51=60,0.5,IF(J51=300,2,IF(J51&lt;180,1,1.5))),1)</f>
        <v>1</v>
      </c>
      <c r="L51" s="593"/>
      <c r="M51" s="240">
        <f t="shared" si="0"/>
        <v>51.282051282051277</v>
      </c>
      <c r="N51" s="240">
        <f t="shared" si="0"/>
        <v>51.282051282051277</v>
      </c>
      <c r="O51" s="240">
        <f t="shared" si="0"/>
        <v>51.282051282051277</v>
      </c>
      <c r="P51" s="240">
        <f t="shared" si="0"/>
        <v>51.282051282051277</v>
      </c>
      <c r="Q51" s="241">
        <f>SUM(M51:P51)</f>
        <v>205.12820512820511</v>
      </c>
      <c r="R51" s="113">
        <f>'3. Calc'!D38</f>
        <v>1</v>
      </c>
    </row>
    <row r="52" spans="1:25" ht="18.75" customHeight="1">
      <c r="A52" s="112"/>
      <c r="B52" s="140"/>
      <c r="C52" s="140"/>
      <c r="D52" s="140"/>
      <c r="E52" s="140"/>
      <c r="F52" s="140" t="s">
        <v>150</v>
      </c>
      <c r="G52" s="242"/>
      <c r="H52" s="140">
        <v>1.5</v>
      </c>
      <c r="I52" s="140"/>
      <c r="J52" s="140"/>
      <c r="K52" s="593">
        <f>K32</f>
        <v>1</v>
      </c>
      <c r="L52" s="593"/>
      <c r="M52" s="240">
        <f t="shared" si="0"/>
        <v>51.282051282051277</v>
      </c>
      <c r="N52" s="240">
        <f t="shared" si="0"/>
        <v>51.282051282051277</v>
      </c>
      <c r="O52" s="240">
        <f t="shared" si="0"/>
        <v>51.282051282051277</v>
      </c>
      <c r="P52" s="240">
        <f t="shared" si="0"/>
        <v>51.282051282051277</v>
      </c>
      <c r="Q52" s="241">
        <f>SUM(M52:P52)</f>
        <v>205.12820512820511</v>
      </c>
      <c r="R52" s="113">
        <f>'3. Calc'!D59</f>
        <v>1</v>
      </c>
    </row>
    <row r="53" spans="1:25" ht="18.75" customHeight="1">
      <c r="A53" s="112"/>
      <c r="B53" s="140"/>
      <c r="C53" s="140"/>
      <c r="D53" s="140"/>
      <c r="E53" s="140"/>
      <c r="F53" s="140" t="s">
        <v>151</v>
      </c>
      <c r="G53" s="242"/>
      <c r="H53" s="140">
        <v>2</v>
      </c>
      <c r="I53" s="140"/>
      <c r="J53" s="140"/>
      <c r="K53" s="593">
        <f>K38</f>
        <v>1</v>
      </c>
      <c r="L53" s="593"/>
      <c r="M53" s="240">
        <f t="shared" si="0"/>
        <v>51.282051282051277</v>
      </c>
      <c r="N53" s="240">
        <f t="shared" si="0"/>
        <v>51.282051282051277</v>
      </c>
      <c r="O53" s="240">
        <f t="shared" si="0"/>
        <v>51.282051282051277</v>
      </c>
      <c r="P53" s="240">
        <f t="shared" si="0"/>
        <v>51.282051282051277</v>
      </c>
      <c r="Q53" s="241">
        <f>SUM(M53:P53)</f>
        <v>205.12820512820511</v>
      </c>
      <c r="R53" s="113">
        <f>'3. Calc'!D76</f>
        <v>1</v>
      </c>
    </row>
    <row r="54" spans="1:25" ht="18.75" customHeight="1" thickBot="1">
      <c r="A54" s="112"/>
      <c r="B54" s="243"/>
      <c r="C54" s="243"/>
      <c r="D54" s="243"/>
      <c r="E54" s="243"/>
      <c r="F54" s="243"/>
      <c r="G54" s="243"/>
      <c r="H54" s="243"/>
      <c r="I54" s="243"/>
      <c r="J54" s="243"/>
      <c r="K54" s="243"/>
      <c r="L54" s="243"/>
      <c r="M54" s="244">
        <f>SUM(M49:M53)</f>
        <v>256.41025641025641</v>
      </c>
      <c r="N54" s="244">
        <f>SUM(N49:N53)</f>
        <v>256.41025641025641</v>
      </c>
      <c r="O54" s="244">
        <f>SUM(O49:O53)</f>
        <v>256.41025641025641</v>
      </c>
      <c r="P54" s="244">
        <f>SUM(P49:P53)</f>
        <v>230.76923076923075</v>
      </c>
      <c r="Q54" s="245">
        <f>SUM(Q49:Q53)</f>
        <v>999.99999999999989</v>
      </c>
      <c r="R54" s="112"/>
    </row>
    <row r="55" spans="1:25" ht="18.75" customHeight="1">
      <c r="A55" s="112"/>
      <c r="B55" s="112"/>
      <c r="C55" s="112"/>
      <c r="D55" s="112"/>
      <c r="E55" s="112"/>
      <c r="F55" s="112"/>
      <c r="G55" s="112"/>
      <c r="H55" s="112"/>
      <c r="I55" s="112"/>
      <c r="J55" s="112"/>
      <c r="K55" s="112"/>
      <c r="L55" s="112"/>
      <c r="M55" s="113"/>
      <c r="N55" s="113"/>
      <c r="O55" s="113"/>
      <c r="P55" s="113"/>
      <c r="Q55" s="112"/>
      <c r="R55" s="112"/>
    </row>
    <row r="56" spans="1:25" ht="24.75" customHeight="1">
      <c r="A56" s="112"/>
      <c r="B56" s="112"/>
      <c r="C56" s="112"/>
      <c r="D56" s="112"/>
      <c r="E56" s="112"/>
      <c r="F56" s="112"/>
      <c r="G56" s="112"/>
      <c r="H56" s="112"/>
      <c r="I56" s="112"/>
      <c r="J56" s="112"/>
      <c r="K56" s="112"/>
      <c r="L56" s="112"/>
      <c r="M56" s="113"/>
      <c r="N56" s="113"/>
      <c r="O56" s="113"/>
      <c r="P56" s="113"/>
      <c r="Q56" s="112"/>
      <c r="R56" s="112"/>
    </row>
    <row r="57" spans="1:25" ht="24.75" customHeight="1">
      <c r="A57" s="112"/>
      <c r="B57" s="112"/>
      <c r="C57" s="112"/>
      <c r="D57" s="112"/>
      <c r="E57" s="112"/>
      <c r="F57" s="112"/>
      <c r="G57" s="112"/>
      <c r="H57" s="112"/>
      <c r="I57" s="112"/>
      <c r="J57" s="112"/>
      <c r="K57" s="112"/>
      <c r="L57" s="112"/>
      <c r="M57" s="113"/>
      <c r="N57" s="113"/>
      <c r="O57" s="113"/>
      <c r="P57" s="113"/>
      <c r="Q57" s="112"/>
      <c r="R57" s="112"/>
    </row>
    <row r="58" spans="1:25" ht="27.75" customHeight="1">
      <c r="A58" s="112"/>
      <c r="B58" s="594"/>
      <c r="C58" s="594"/>
      <c r="D58" s="594"/>
      <c r="E58" s="594"/>
      <c r="F58" s="594"/>
      <c r="G58" s="594"/>
      <c r="H58" s="594"/>
      <c r="I58" s="594"/>
      <c r="J58" s="594"/>
      <c r="K58" s="594"/>
      <c r="L58" s="594"/>
      <c r="M58" s="594"/>
      <c r="N58" s="594"/>
      <c r="O58" s="594"/>
      <c r="P58" s="594"/>
      <c r="Q58" s="594"/>
      <c r="R58" s="114"/>
      <c r="S58" s="114"/>
    </row>
    <row r="59" spans="1:25" ht="27.75" customHeight="1">
      <c r="A59" s="112"/>
      <c r="B59" s="128"/>
      <c r="C59" s="128"/>
      <c r="D59" s="128"/>
      <c r="E59" s="128"/>
      <c r="F59" s="128"/>
      <c r="G59" s="128"/>
      <c r="H59" s="128"/>
      <c r="I59" s="128"/>
      <c r="J59" s="128"/>
      <c r="K59" s="128"/>
      <c r="L59" s="128"/>
      <c r="M59" s="437" t="s">
        <v>143</v>
      </c>
      <c r="N59" s="437" t="s">
        <v>144</v>
      </c>
      <c r="O59" s="437" t="s">
        <v>100</v>
      </c>
      <c r="P59" s="437" t="s">
        <v>145</v>
      </c>
      <c r="Q59" s="123"/>
      <c r="R59" s="114"/>
      <c r="S59" s="114"/>
    </row>
    <row r="60" spans="1:25" ht="19.5" customHeight="1">
      <c r="A60" s="112"/>
      <c r="B60" s="128"/>
      <c r="C60" s="128"/>
      <c r="D60" s="128"/>
      <c r="E60" s="128"/>
      <c r="F60" s="128"/>
      <c r="G60" s="128"/>
      <c r="H60" s="128"/>
      <c r="I60" s="128"/>
      <c r="J60" s="128"/>
      <c r="K60" s="128"/>
      <c r="L60" s="128"/>
      <c r="M60" s="437"/>
      <c r="N60" s="437"/>
      <c r="O60" s="437"/>
      <c r="P60" s="437"/>
      <c r="Q60" s="123"/>
      <c r="R60" s="112"/>
    </row>
    <row r="61" spans="1:25" s="246" customFormat="1" ht="23.25" customHeight="1">
      <c r="A61" s="114"/>
      <c r="B61" s="128"/>
      <c r="C61" s="128"/>
      <c r="D61" s="128"/>
      <c r="E61" s="128"/>
      <c r="F61" s="128"/>
      <c r="G61" s="128"/>
      <c r="H61" s="128"/>
      <c r="I61" s="128"/>
      <c r="J61" s="128"/>
      <c r="K61" s="128"/>
      <c r="L61" s="128"/>
      <c r="M61" s="436">
        <v>1</v>
      </c>
      <c r="N61" s="436">
        <v>1</v>
      </c>
      <c r="O61" s="436">
        <v>1</v>
      </c>
      <c r="P61" s="436">
        <v>1</v>
      </c>
      <c r="Q61" s="123"/>
      <c r="R61" s="112"/>
      <c r="S61" s="112"/>
      <c r="T61" s="114"/>
      <c r="U61" s="114"/>
      <c r="V61" s="114"/>
      <c r="W61" s="114"/>
      <c r="X61" s="114"/>
      <c r="Y61" s="114"/>
    </row>
    <row r="62" spans="1:25" s="246" customFormat="1" ht="54" customHeight="1">
      <c r="A62" s="114"/>
      <c r="B62" s="236"/>
      <c r="C62" s="236"/>
      <c r="D62" s="236"/>
      <c r="E62" s="236"/>
      <c r="F62" s="236"/>
      <c r="G62" s="236"/>
      <c r="H62" s="236"/>
      <c r="I62" s="236"/>
      <c r="J62" s="236"/>
      <c r="K62" s="247">
        <f>IF(K49=R49,K49,R49)</f>
        <v>1</v>
      </c>
      <c r="L62" s="247"/>
      <c r="M62" s="248">
        <f>M14*$K$62</f>
        <v>1</v>
      </c>
      <c r="N62" s="248">
        <f>N14*$K$62</f>
        <v>1</v>
      </c>
      <c r="O62" s="248">
        <f>O14*$K$62</f>
        <v>1</v>
      </c>
      <c r="P62" s="248">
        <f>P14*$K$62</f>
        <v>0.5</v>
      </c>
      <c r="Q62" s="241">
        <f>SUM(M62:P62)</f>
        <v>3.5</v>
      </c>
      <c r="R62" s="112"/>
      <c r="S62" s="112"/>
      <c r="T62" s="114"/>
      <c r="U62" s="114"/>
      <c r="V62" s="114"/>
      <c r="W62" s="114"/>
      <c r="X62" s="114"/>
      <c r="Y62" s="114"/>
    </row>
    <row r="63" spans="1:25" ht="27" customHeight="1">
      <c r="A63" s="112"/>
      <c r="B63" s="140"/>
      <c r="C63" s="140"/>
      <c r="D63" s="140"/>
      <c r="E63" s="140"/>
      <c r="F63" s="140"/>
      <c r="G63" s="140"/>
      <c r="H63" s="140"/>
      <c r="I63" s="140"/>
      <c r="J63" s="140"/>
      <c r="K63" s="247">
        <f t="shared" ref="K63:K66" si="1">IF(K50=R50,K50,R50)</f>
        <v>1</v>
      </c>
      <c r="L63" s="247"/>
      <c r="M63" s="248">
        <f>M22*$K$63</f>
        <v>1</v>
      </c>
      <c r="N63" s="248">
        <f>N22*$K$63</f>
        <v>1</v>
      </c>
      <c r="O63" s="248">
        <f>O22*$K$63</f>
        <v>1</v>
      </c>
      <c r="P63" s="248">
        <f>P22*$K$63</f>
        <v>1</v>
      </c>
      <c r="Q63" s="241">
        <f>SUM(M63:P63)</f>
        <v>4</v>
      </c>
      <c r="R63" s="112"/>
    </row>
    <row r="64" spans="1:25" ht="29.25" customHeight="1">
      <c r="A64" s="112"/>
      <c r="B64" s="140"/>
      <c r="C64" s="140"/>
      <c r="D64" s="140"/>
      <c r="E64" s="140"/>
      <c r="F64" s="140"/>
      <c r="G64" s="140"/>
      <c r="H64" s="140"/>
      <c r="I64" s="140"/>
      <c r="J64" s="140"/>
      <c r="K64" s="247">
        <f t="shared" si="1"/>
        <v>1</v>
      </c>
      <c r="L64" s="247"/>
      <c r="M64" s="248">
        <f>M28*$K$64</f>
        <v>1</v>
      </c>
      <c r="N64" s="248">
        <f>N28*$K$64</f>
        <v>1</v>
      </c>
      <c r="O64" s="248">
        <f>O28*$K$64</f>
        <v>1</v>
      </c>
      <c r="P64" s="248">
        <f>P28*$K$64</f>
        <v>1</v>
      </c>
      <c r="Q64" s="241">
        <f>SUM(M64:P64)</f>
        <v>4</v>
      </c>
      <c r="R64" s="112"/>
    </row>
    <row r="65" spans="1:18" ht="24" customHeight="1">
      <c r="A65" s="112"/>
      <c r="B65" s="140"/>
      <c r="C65" s="140"/>
      <c r="D65" s="140"/>
      <c r="E65" s="140"/>
      <c r="F65" s="140"/>
      <c r="G65" s="140"/>
      <c r="H65" s="140"/>
      <c r="I65" s="140"/>
      <c r="J65" s="140"/>
      <c r="K65" s="247">
        <f t="shared" si="1"/>
        <v>1</v>
      </c>
      <c r="L65" s="236"/>
      <c r="M65" s="248">
        <f>M35*K65</f>
        <v>1</v>
      </c>
      <c r="N65" s="248">
        <f>N35*K65</f>
        <v>1</v>
      </c>
      <c r="O65" s="248">
        <f>O35*K65</f>
        <v>1</v>
      </c>
      <c r="P65" s="248">
        <f>P35*K65</f>
        <v>1</v>
      </c>
      <c r="Q65" s="241">
        <f>SUM(M65:P65)</f>
        <v>4</v>
      </c>
      <c r="R65" s="112"/>
    </row>
    <row r="66" spans="1:18" ht="24" customHeight="1">
      <c r="A66" s="112"/>
      <c r="B66" s="140"/>
      <c r="C66" s="140"/>
      <c r="D66" s="140"/>
      <c r="E66" s="140"/>
      <c r="F66" s="140"/>
      <c r="G66" s="140"/>
      <c r="H66" s="140"/>
      <c r="I66" s="140"/>
      <c r="J66" s="140"/>
      <c r="K66" s="247">
        <f t="shared" si="1"/>
        <v>1</v>
      </c>
      <c r="L66" s="236"/>
      <c r="M66" s="248">
        <f>M41*K66</f>
        <v>1</v>
      </c>
      <c r="N66" s="248">
        <f>N41*K66</f>
        <v>1</v>
      </c>
      <c r="O66" s="248">
        <f>O41*K66</f>
        <v>1</v>
      </c>
      <c r="P66" s="248">
        <f>P41*K66</f>
        <v>1</v>
      </c>
      <c r="Q66" s="241">
        <f>SUM(M66:P66)</f>
        <v>4</v>
      </c>
      <c r="R66" s="112"/>
    </row>
    <row r="67" spans="1:18" ht="24" customHeight="1">
      <c r="A67" s="112"/>
      <c r="B67" s="243"/>
      <c r="C67" s="243"/>
      <c r="D67" s="243"/>
      <c r="E67" s="243"/>
      <c r="F67" s="243"/>
      <c r="G67" s="243"/>
      <c r="H67" s="243"/>
      <c r="I67" s="243"/>
      <c r="J67" s="243"/>
      <c r="K67" s="243"/>
      <c r="L67" s="243"/>
      <c r="M67" s="244">
        <f>SUM(M62:M66)</f>
        <v>5</v>
      </c>
      <c r="N67" s="244">
        <f>SUM(N62:N66)</f>
        <v>5</v>
      </c>
      <c r="O67" s="244">
        <f>SUM(O62:O66)</f>
        <v>5</v>
      </c>
      <c r="P67" s="244">
        <f>SUM(P62:P66)</f>
        <v>4.5</v>
      </c>
      <c r="Q67" s="245">
        <f>SUM(Q62:Q66)</f>
        <v>19.5</v>
      </c>
      <c r="R67" s="112"/>
    </row>
    <row r="68" spans="1:18" ht="24" customHeight="1">
      <c r="A68" s="112"/>
      <c r="B68" s="112"/>
      <c r="C68" s="112"/>
      <c r="D68" s="112"/>
      <c r="E68" s="112"/>
      <c r="F68" s="112"/>
      <c r="G68" s="112"/>
      <c r="H68" s="112"/>
      <c r="I68" s="112"/>
      <c r="J68" s="112"/>
      <c r="K68" s="112"/>
      <c r="L68" s="112"/>
      <c r="M68" s="113"/>
      <c r="N68" s="113"/>
      <c r="O68" s="113"/>
      <c r="P68" s="113"/>
      <c r="Q68" s="112"/>
      <c r="R68" s="112"/>
    </row>
    <row r="69" spans="1:18" ht="36" customHeight="1">
      <c r="A69" s="112"/>
      <c r="B69" s="112"/>
      <c r="C69" s="112"/>
      <c r="D69" s="112"/>
      <c r="E69" s="112"/>
      <c r="F69" s="112"/>
      <c r="G69" s="112"/>
      <c r="H69" s="112"/>
      <c r="I69" s="112"/>
      <c r="J69" s="112"/>
      <c r="K69" s="112"/>
      <c r="L69" s="112"/>
      <c r="M69" s="113"/>
      <c r="N69" s="113"/>
      <c r="O69" s="113"/>
      <c r="P69" s="113"/>
      <c r="Q69" s="112"/>
      <c r="R69" s="112"/>
    </row>
    <row r="70" spans="1:18" ht="24" customHeight="1">
      <c r="A70" s="112"/>
      <c r="B70" s="112" t="s">
        <v>152</v>
      </c>
      <c r="C70" s="112"/>
      <c r="D70" s="112"/>
      <c r="E70" s="112"/>
      <c r="F70" s="112"/>
      <c r="G70" s="112"/>
      <c r="H70" s="112"/>
      <c r="I70" s="112"/>
      <c r="J70" s="112"/>
      <c r="K70" s="112"/>
      <c r="L70" s="112"/>
      <c r="M70" s="113"/>
      <c r="N70" s="113"/>
      <c r="O70" s="113"/>
      <c r="P70" s="113"/>
      <c r="Q70" s="112"/>
      <c r="R70" s="112"/>
    </row>
    <row r="71" spans="1:18" ht="12" customHeight="1">
      <c r="A71" s="112"/>
      <c r="B71" s="112"/>
      <c r="C71" s="112"/>
      <c r="D71" s="112"/>
      <c r="E71" s="112"/>
      <c r="F71" s="112"/>
      <c r="G71" s="112"/>
      <c r="H71" s="112"/>
      <c r="I71" s="112"/>
      <c r="J71" s="112"/>
      <c r="K71" s="112"/>
      <c r="L71" s="112"/>
      <c r="M71" s="113"/>
      <c r="N71" s="113"/>
      <c r="O71" s="113"/>
      <c r="P71" s="113"/>
      <c r="Q71" s="112"/>
      <c r="R71" s="112"/>
    </row>
    <row r="72" spans="1:18" ht="12" customHeight="1">
      <c r="A72" s="112"/>
      <c r="B72" s="112"/>
      <c r="C72" s="112"/>
      <c r="D72" s="112"/>
      <c r="E72" s="112"/>
      <c r="F72" s="112"/>
      <c r="G72" s="112"/>
      <c r="H72" s="112"/>
      <c r="I72" s="112"/>
      <c r="J72" s="112"/>
      <c r="K72" s="112"/>
      <c r="L72" s="112"/>
      <c r="M72" s="113"/>
      <c r="N72" s="113"/>
      <c r="O72" s="113"/>
      <c r="P72" s="113"/>
      <c r="Q72" s="112"/>
      <c r="R72" s="112"/>
    </row>
    <row r="73" spans="1:18" ht="12" customHeight="1">
      <c r="A73" s="112"/>
      <c r="B73" s="112"/>
      <c r="C73" s="112"/>
      <c r="D73" s="112"/>
      <c r="E73" s="112"/>
      <c r="F73" s="112"/>
      <c r="G73" s="112"/>
      <c r="H73" s="112"/>
      <c r="I73" s="112"/>
      <c r="J73" s="112"/>
      <c r="K73" s="112"/>
      <c r="L73" s="112"/>
      <c r="M73" s="113"/>
      <c r="N73" s="113"/>
      <c r="O73" s="113"/>
      <c r="P73" s="113"/>
      <c r="Q73" s="112"/>
      <c r="R73" s="112"/>
    </row>
    <row r="74" spans="1:18" ht="12" customHeight="1">
      <c r="A74" s="112"/>
    </row>
    <row r="75" spans="1:18" ht="12" customHeight="1">
      <c r="A75" s="112"/>
    </row>
    <row r="76" spans="1:18" ht="12" customHeight="1">
      <c r="A76" s="112"/>
    </row>
    <row r="119" spans="1:18" ht="12" customHeight="1">
      <c r="A119" s="112"/>
      <c r="B119" s="112"/>
      <c r="C119" s="112"/>
      <c r="D119" s="112"/>
      <c r="E119" s="112"/>
      <c r="F119" s="112"/>
      <c r="G119" s="112"/>
      <c r="H119" s="112"/>
      <c r="I119" s="112"/>
      <c r="J119" s="112"/>
      <c r="K119" s="112"/>
      <c r="L119" s="112"/>
      <c r="M119" s="113"/>
      <c r="N119" s="113"/>
      <c r="O119" s="113"/>
      <c r="P119" s="113"/>
      <c r="Q119" s="112"/>
      <c r="R119" s="112"/>
    </row>
    <row r="120" spans="1:18" ht="12" customHeight="1">
      <c r="A120" s="112"/>
      <c r="B120" s="112"/>
      <c r="C120" s="112"/>
      <c r="D120" s="112"/>
      <c r="E120" s="112"/>
      <c r="F120" s="112"/>
      <c r="G120" s="112"/>
      <c r="H120" s="112"/>
      <c r="I120" s="112"/>
      <c r="J120" s="112"/>
      <c r="K120" s="112"/>
      <c r="L120" s="112"/>
      <c r="M120" s="113"/>
      <c r="N120" s="113"/>
      <c r="O120" s="113"/>
      <c r="P120" s="113"/>
      <c r="Q120" s="112"/>
      <c r="R120" s="112"/>
    </row>
    <row r="121" spans="1:18" ht="12" customHeight="1">
      <c r="A121" s="112"/>
      <c r="B121" s="112"/>
      <c r="C121" s="112"/>
      <c r="D121" s="112"/>
      <c r="E121" s="112"/>
      <c r="F121" s="112"/>
      <c r="G121" s="112"/>
      <c r="H121" s="112"/>
      <c r="I121" s="112"/>
      <c r="J121" s="112"/>
      <c r="K121" s="112"/>
      <c r="L121" s="112"/>
      <c r="M121" s="113"/>
      <c r="N121" s="113"/>
      <c r="O121" s="113"/>
      <c r="P121" s="113"/>
      <c r="Q121" s="112"/>
      <c r="R121" s="112"/>
    </row>
    <row r="122" spans="1:18" ht="12" customHeight="1">
      <c r="A122" s="112"/>
      <c r="B122" s="112"/>
      <c r="C122" s="112"/>
      <c r="D122" s="112"/>
      <c r="E122" s="112"/>
      <c r="F122" s="112"/>
      <c r="G122" s="112"/>
      <c r="H122" s="112"/>
      <c r="I122" s="112"/>
      <c r="J122" s="112"/>
      <c r="K122" s="112"/>
      <c r="L122" s="112"/>
      <c r="M122" s="113"/>
      <c r="N122" s="113"/>
      <c r="O122" s="113"/>
      <c r="P122" s="113"/>
      <c r="Q122" s="112"/>
      <c r="R122" s="112"/>
    </row>
    <row r="123" spans="1:18" ht="12" customHeight="1">
      <c r="A123" s="112"/>
      <c r="B123" s="112"/>
      <c r="C123" s="112"/>
      <c r="D123" s="112"/>
      <c r="E123" s="112"/>
      <c r="F123" s="112"/>
      <c r="G123" s="112"/>
      <c r="H123" s="112"/>
      <c r="I123" s="112"/>
      <c r="J123" s="112"/>
      <c r="K123" s="112"/>
      <c r="L123" s="112"/>
      <c r="M123" s="113"/>
      <c r="N123" s="113"/>
      <c r="O123" s="113"/>
      <c r="P123" s="113"/>
      <c r="Q123" s="112"/>
      <c r="R123" s="112"/>
    </row>
    <row r="124" spans="1:18" ht="12" customHeight="1">
      <c r="A124" s="112"/>
      <c r="B124" s="112"/>
      <c r="C124" s="112"/>
      <c r="D124" s="112"/>
      <c r="E124" s="112"/>
      <c r="F124" s="112"/>
      <c r="G124" s="112"/>
      <c r="H124" s="112"/>
      <c r="I124" s="112"/>
      <c r="J124" s="112"/>
      <c r="K124" s="112"/>
      <c r="L124" s="112"/>
      <c r="M124" s="113"/>
      <c r="N124" s="113"/>
      <c r="O124" s="113"/>
      <c r="P124" s="113"/>
      <c r="Q124" s="112"/>
      <c r="R124" s="112"/>
    </row>
    <row r="125" spans="1:18" ht="12" customHeight="1">
      <c r="A125" s="112"/>
      <c r="B125" s="112"/>
      <c r="C125" s="112"/>
      <c r="D125" s="112"/>
      <c r="E125" s="112"/>
      <c r="F125" s="112"/>
      <c r="G125" s="112"/>
      <c r="H125" s="112"/>
      <c r="I125" s="112"/>
      <c r="J125" s="112"/>
      <c r="K125" s="112"/>
      <c r="L125" s="112"/>
      <c r="M125" s="113"/>
      <c r="N125" s="113"/>
      <c r="O125" s="113"/>
      <c r="P125" s="113"/>
      <c r="Q125" s="112"/>
      <c r="R125" s="112"/>
    </row>
    <row r="126" spans="1:18" ht="12" customHeight="1">
      <c r="A126" s="112"/>
      <c r="B126" s="112"/>
      <c r="C126" s="112"/>
      <c r="D126" s="112"/>
      <c r="E126" s="112"/>
      <c r="F126" s="112"/>
      <c r="G126" s="112"/>
      <c r="H126" s="112"/>
      <c r="I126" s="112"/>
      <c r="J126" s="112"/>
      <c r="K126" s="112"/>
      <c r="L126" s="112"/>
      <c r="M126" s="113"/>
      <c r="N126" s="113"/>
      <c r="O126" s="113"/>
      <c r="P126" s="113"/>
      <c r="Q126" s="112"/>
      <c r="R126" s="112"/>
    </row>
    <row r="127" spans="1:18" ht="12" customHeight="1">
      <c r="A127" s="112"/>
      <c r="B127" s="112"/>
      <c r="C127" s="112"/>
      <c r="D127" s="112"/>
      <c r="E127" s="112"/>
      <c r="F127" s="112"/>
      <c r="G127" s="112"/>
      <c r="H127" s="112"/>
      <c r="I127" s="112"/>
      <c r="J127" s="112"/>
      <c r="K127" s="112"/>
      <c r="L127" s="112"/>
      <c r="M127" s="113"/>
      <c r="N127" s="113"/>
      <c r="O127" s="113"/>
      <c r="P127" s="113"/>
      <c r="Q127" s="112"/>
      <c r="R127" s="112"/>
    </row>
    <row r="128" spans="1:18" ht="12" customHeight="1">
      <c r="A128" s="112"/>
      <c r="B128" s="112"/>
      <c r="C128" s="112"/>
      <c r="D128" s="112"/>
      <c r="E128" s="112"/>
      <c r="F128" s="112"/>
      <c r="G128" s="112"/>
      <c r="H128" s="112"/>
      <c r="I128" s="112"/>
      <c r="J128" s="112"/>
      <c r="K128" s="112"/>
      <c r="L128" s="112"/>
      <c r="M128" s="113"/>
      <c r="N128" s="113"/>
      <c r="O128" s="113"/>
      <c r="P128" s="113"/>
      <c r="Q128" s="112"/>
      <c r="R128" s="112"/>
    </row>
    <row r="129" spans="1:18" ht="12" customHeight="1">
      <c r="A129" s="112"/>
      <c r="B129" s="112"/>
      <c r="C129" s="112"/>
      <c r="D129" s="112"/>
      <c r="E129" s="112"/>
      <c r="F129" s="112"/>
      <c r="G129" s="112"/>
      <c r="H129" s="112"/>
      <c r="I129" s="112"/>
      <c r="J129" s="112"/>
      <c r="K129" s="112"/>
      <c r="L129" s="112"/>
      <c r="M129" s="113"/>
      <c r="N129" s="113"/>
      <c r="O129" s="113"/>
      <c r="P129" s="113"/>
      <c r="Q129" s="112"/>
      <c r="R129" s="112"/>
    </row>
    <row r="130" spans="1:18" ht="12" customHeight="1">
      <c r="A130" s="112"/>
      <c r="B130" s="112"/>
      <c r="C130" s="112"/>
      <c r="D130" s="112"/>
      <c r="E130" s="112"/>
      <c r="F130" s="112"/>
      <c r="G130" s="112"/>
      <c r="H130" s="112"/>
      <c r="I130" s="112"/>
      <c r="J130" s="112"/>
      <c r="K130" s="112"/>
      <c r="L130" s="112"/>
      <c r="M130" s="113"/>
      <c r="N130" s="113"/>
      <c r="O130" s="113"/>
      <c r="P130" s="113"/>
      <c r="Q130" s="112"/>
      <c r="R130" s="112"/>
    </row>
    <row r="131" spans="1:18" ht="12" customHeight="1">
      <c r="A131" s="112"/>
      <c r="B131" s="112"/>
      <c r="C131" s="112"/>
      <c r="D131" s="112"/>
      <c r="E131" s="112"/>
      <c r="F131" s="112"/>
      <c r="G131" s="112"/>
      <c r="H131" s="112"/>
      <c r="I131" s="112"/>
      <c r="J131" s="112"/>
      <c r="K131" s="112"/>
      <c r="L131" s="112"/>
      <c r="M131" s="113"/>
      <c r="N131" s="113"/>
      <c r="O131" s="113"/>
      <c r="P131" s="113"/>
      <c r="Q131" s="112"/>
      <c r="R131" s="112"/>
    </row>
    <row r="132" spans="1:18" ht="12" customHeight="1">
      <c r="A132" s="112"/>
      <c r="B132" s="112"/>
      <c r="C132" s="112"/>
      <c r="D132" s="112"/>
      <c r="E132" s="112"/>
      <c r="F132" s="112"/>
      <c r="G132" s="112"/>
      <c r="H132" s="112"/>
      <c r="I132" s="112"/>
      <c r="J132" s="112"/>
      <c r="K132" s="112"/>
      <c r="L132" s="112"/>
      <c r="M132" s="113"/>
      <c r="N132" s="113"/>
      <c r="O132" s="113"/>
      <c r="P132" s="113"/>
      <c r="Q132" s="112"/>
      <c r="R132" s="112"/>
    </row>
    <row r="133" spans="1:18" ht="12" customHeight="1">
      <c r="A133" s="112"/>
      <c r="B133" s="112"/>
      <c r="C133" s="112"/>
      <c r="D133" s="112"/>
      <c r="E133" s="112"/>
      <c r="F133" s="112"/>
      <c r="G133" s="112"/>
      <c r="H133" s="112"/>
      <c r="I133" s="112"/>
      <c r="J133" s="112"/>
      <c r="K133" s="112"/>
      <c r="L133" s="112"/>
      <c r="M133" s="113"/>
      <c r="N133" s="113"/>
      <c r="O133" s="113"/>
      <c r="P133" s="113"/>
      <c r="Q133" s="112"/>
      <c r="R133" s="112"/>
    </row>
    <row r="134" spans="1:18" ht="12" customHeight="1">
      <c r="A134" s="112"/>
      <c r="B134" s="112"/>
      <c r="C134" s="112"/>
      <c r="D134" s="112"/>
      <c r="E134" s="112"/>
      <c r="F134" s="112"/>
      <c r="G134" s="112"/>
      <c r="H134" s="112"/>
      <c r="I134" s="112"/>
      <c r="J134" s="112"/>
      <c r="K134" s="112"/>
      <c r="L134" s="112"/>
      <c r="M134" s="113"/>
      <c r="N134" s="113"/>
      <c r="O134" s="113"/>
      <c r="P134" s="113"/>
      <c r="Q134" s="112"/>
      <c r="R134" s="112"/>
    </row>
    <row r="135" spans="1:18" ht="12" customHeight="1">
      <c r="A135" s="112"/>
      <c r="B135" s="112"/>
      <c r="C135" s="112"/>
      <c r="D135" s="112"/>
      <c r="E135" s="112"/>
      <c r="F135" s="112"/>
      <c r="G135" s="112"/>
      <c r="H135" s="112"/>
      <c r="I135" s="112"/>
      <c r="J135" s="112"/>
      <c r="K135" s="112"/>
      <c r="L135" s="112"/>
      <c r="M135" s="113"/>
      <c r="N135" s="113"/>
      <c r="O135" s="113"/>
      <c r="P135" s="113"/>
      <c r="Q135" s="112"/>
      <c r="R135" s="112"/>
    </row>
    <row r="136" spans="1:18" ht="12" customHeight="1">
      <c r="A136" s="249"/>
      <c r="B136" s="112"/>
      <c r="C136" s="112"/>
      <c r="D136" s="112"/>
      <c r="E136" s="112"/>
      <c r="F136" s="112"/>
      <c r="G136" s="112"/>
      <c r="H136" s="112"/>
      <c r="I136" s="112"/>
      <c r="J136" s="112"/>
      <c r="K136" s="112"/>
      <c r="L136" s="112"/>
      <c r="M136" s="113"/>
      <c r="N136" s="113"/>
      <c r="O136" s="113"/>
      <c r="P136" s="113"/>
      <c r="Q136" s="112"/>
      <c r="R136" s="112"/>
    </row>
    <row r="137" spans="1:18" ht="12" customHeight="1">
      <c r="A137" s="249"/>
      <c r="B137" s="112"/>
      <c r="C137" s="112"/>
      <c r="D137" s="112"/>
      <c r="E137" s="112"/>
      <c r="F137" s="112"/>
      <c r="G137" s="112"/>
      <c r="H137" s="112"/>
      <c r="I137" s="112"/>
      <c r="J137" s="112"/>
      <c r="K137" s="112"/>
      <c r="L137" s="112"/>
      <c r="M137" s="113"/>
      <c r="N137" s="113"/>
      <c r="O137" s="113"/>
      <c r="P137" s="113"/>
      <c r="Q137" s="112"/>
      <c r="R137" s="112"/>
    </row>
    <row r="138" spans="1:18" ht="12" customHeight="1">
      <c r="A138" s="249"/>
      <c r="B138" s="112"/>
      <c r="C138" s="112"/>
      <c r="D138" s="112"/>
      <c r="E138" s="112"/>
      <c r="F138" s="112"/>
      <c r="G138" s="112"/>
      <c r="H138" s="112"/>
      <c r="I138" s="112"/>
      <c r="J138" s="112"/>
      <c r="K138" s="112"/>
      <c r="L138" s="112"/>
      <c r="M138" s="113"/>
      <c r="N138" s="113"/>
      <c r="O138" s="113"/>
      <c r="P138" s="113"/>
      <c r="Q138" s="112"/>
      <c r="R138" s="112"/>
    </row>
    <row r="139" spans="1:18" ht="12" customHeight="1">
      <c r="A139" s="112"/>
      <c r="B139" s="112"/>
      <c r="C139" s="112"/>
      <c r="D139" s="112"/>
      <c r="E139" s="112"/>
      <c r="F139" s="112"/>
      <c r="G139" s="112"/>
      <c r="H139" s="112"/>
      <c r="I139" s="112"/>
      <c r="J139" s="112"/>
      <c r="K139" s="112"/>
      <c r="L139" s="112"/>
      <c r="M139" s="113"/>
      <c r="N139" s="113"/>
      <c r="O139" s="113"/>
      <c r="P139" s="113"/>
      <c r="Q139" s="112"/>
      <c r="R139" s="112"/>
    </row>
    <row r="140" spans="1:18" ht="12" customHeight="1">
      <c r="A140" s="112"/>
      <c r="B140" s="112"/>
      <c r="C140" s="112"/>
      <c r="D140" s="112"/>
      <c r="E140" s="112"/>
      <c r="F140" s="112"/>
      <c r="G140" s="112"/>
      <c r="H140" s="112"/>
      <c r="I140" s="112"/>
      <c r="J140" s="112"/>
      <c r="K140" s="112"/>
      <c r="L140" s="112"/>
      <c r="M140" s="113"/>
      <c r="N140" s="113"/>
      <c r="O140" s="113"/>
      <c r="P140" s="113"/>
      <c r="Q140" s="112"/>
      <c r="R140" s="112"/>
    </row>
    <row r="141" spans="1:18" ht="12" customHeight="1">
      <c r="A141" s="112"/>
      <c r="B141" s="112"/>
      <c r="C141" s="112"/>
      <c r="D141" s="112"/>
      <c r="E141" s="112"/>
      <c r="F141" s="112"/>
      <c r="G141" s="112"/>
      <c r="H141" s="112"/>
      <c r="I141" s="112"/>
      <c r="J141" s="112"/>
      <c r="K141" s="112"/>
      <c r="L141" s="112"/>
      <c r="M141" s="113"/>
      <c r="N141" s="113"/>
      <c r="O141" s="113"/>
      <c r="P141" s="113"/>
      <c r="Q141" s="112"/>
      <c r="R141" s="112"/>
    </row>
    <row r="142" spans="1:18" ht="12" customHeight="1">
      <c r="A142" s="112"/>
      <c r="B142" s="112"/>
      <c r="C142" s="112"/>
      <c r="D142" s="112"/>
      <c r="E142" s="112"/>
      <c r="F142" s="112"/>
      <c r="G142" s="112"/>
      <c r="H142" s="112"/>
      <c r="I142" s="112"/>
      <c r="J142" s="112"/>
      <c r="K142" s="112"/>
      <c r="L142" s="112"/>
      <c r="M142" s="113"/>
      <c r="N142" s="113"/>
      <c r="O142" s="113"/>
      <c r="P142" s="113"/>
      <c r="Q142" s="112"/>
      <c r="R142" s="112"/>
    </row>
    <row r="143" spans="1:18" ht="12" customHeight="1">
      <c r="A143" s="112"/>
      <c r="B143" s="112"/>
      <c r="C143" s="112"/>
      <c r="D143" s="112"/>
      <c r="E143" s="112"/>
      <c r="F143" s="112"/>
      <c r="G143" s="112"/>
      <c r="H143" s="112"/>
      <c r="I143" s="112"/>
      <c r="J143" s="112"/>
      <c r="K143" s="112"/>
      <c r="L143" s="112"/>
      <c r="M143" s="113"/>
      <c r="N143" s="113"/>
      <c r="O143" s="113"/>
      <c r="P143" s="113"/>
      <c r="Q143" s="112"/>
      <c r="R143" s="112"/>
    </row>
    <row r="144" spans="1:18" ht="12" customHeight="1">
      <c r="A144" s="112"/>
      <c r="B144" s="112"/>
      <c r="C144" s="112"/>
      <c r="D144" s="112"/>
      <c r="E144" s="112"/>
      <c r="F144" s="112"/>
      <c r="G144" s="112"/>
      <c r="H144" s="112"/>
      <c r="I144" s="112"/>
      <c r="J144" s="112"/>
      <c r="K144" s="112"/>
      <c r="L144" s="112"/>
      <c r="M144" s="113"/>
      <c r="N144" s="113"/>
      <c r="O144" s="113"/>
      <c r="P144" s="113"/>
      <c r="Q144" s="112"/>
      <c r="R144" s="112"/>
    </row>
    <row r="145" spans="1:18" ht="12" customHeight="1">
      <c r="A145" s="112"/>
      <c r="B145" s="112"/>
      <c r="C145" s="112"/>
      <c r="D145" s="112"/>
      <c r="E145" s="112"/>
      <c r="F145" s="112"/>
      <c r="G145" s="112"/>
      <c r="H145" s="112"/>
      <c r="I145" s="112"/>
      <c r="J145" s="112"/>
      <c r="K145" s="112"/>
      <c r="L145" s="112"/>
      <c r="M145" s="113"/>
      <c r="N145" s="113"/>
      <c r="O145" s="113"/>
      <c r="P145" s="113"/>
      <c r="Q145" s="112"/>
      <c r="R145" s="112"/>
    </row>
    <row r="146" spans="1:18" ht="12" customHeight="1">
      <c r="A146" s="112"/>
      <c r="B146" s="112"/>
      <c r="C146" s="112"/>
      <c r="D146" s="112"/>
      <c r="E146" s="112"/>
      <c r="F146" s="112"/>
      <c r="G146" s="112"/>
      <c r="H146" s="112"/>
      <c r="I146" s="112"/>
      <c r="J146" s="112"/>
      <c r="K146" s="112"/>
      <c r="L146" s="112"/>
      <c r="M146" s="113"/>
      <c r="N146" s="113"/>
      <c r="O146" s="113"/>
      <c r="P146" s="113"/>
      <c r="Q146" s="112"/>
      <c r="R146" s="112"/>
    </row>
    <row r="147" spans="1:18" ht="12" customHeight="1">
      <c r="A147" s="112"/>
      <c r="B147" s="112"/>
      <c r="C147" s="112"/>
      <c r="D147" s="112"/>
      <c r="E147" s="112"/>
      <c r="F147" s="112"/>
      <c r="G147" s="112"/>
      <c r="H147" s="112"/>
      <c r="I147" s="112"/>
      <c r="J147" s="112"/>
      <c r="K147" s="112"/>
      <c r="L147" s="112"/>
      <c r="M147" s="113"/>
      <c r="N147" s="113"/>
      <c r="O147" s="113"/>
      <c r="P147" s="113"/>
      <c r="Q147" s="112"/>
      <c r="R147" s="112"/>
    </row>
    <row r="148" spans="1:18" ht="12" customHeight="1">
      <c r="A148" s="112"/>
      <c r="B148" s="112"/>
      <c r="C148" s="112"/>
      <c r="D148" s="112"/>
      <c r="E148" s="112"/>
      <c r="F148" s="112"/>
      <c r="G148" s="112"/>
      <c r="H148" s="112"/>
      <c r="I148" s="112"/>
      <c r="J148" s="112"/>
      <c r="K148" s="112"/>
      <c r="L148" s="112"/>
      <c r="M148" s="113"/>
      <c r="N148" s="113"/>
      <c r="O148" s="113"/>
      <c r="P148" s="113"/>
      <c r="Q148" s="112"/>
      <c r="R148" s="112"/>
    </row>
    <row r="149" spans="1:18" ht="12" customHeight="1">
      <c r="A149" s="112"/>
      <c r="B149" s="112"/>
      <c r="C149" s="112"/>
      <c r="D149" s="112"/>
      <c r="E149" s="112"/>
      <c r="F149" s="112"/>
      <c r="G149" s="112"/>
      <c r="H149" s="112"/>
      <c r="I149" s="112"/>
      <c r="J149" s="112"/>
      <c r="K149" s="112"/>
      <c r="L149" s="112"/>
      <c r="M149" s="113"/>
      <c r="N149" s="113"/>
      <c r="O149" s="113"/>
      <c r="P149" s="113"/>
      <c r="Q149" s="112"/>
      <c r="R149" s="112"/>
    </row>
    <row r="150" spans="1:18" ht="12" customHeight="1">
      <c r="A150" s="112"/>
      <c r="B150" s="112"/>
      <c r="C150" s="112"/>
      <c r="D150" s="112"/>
      <c r="E150" s="112"/>
      <c r="F150" s="112"/>
      <c r="G150" s="112"/>
      <c r="H150" s="112"/>
      <c r="I150" s="112"/>
      <c r="J150" s="112"/>
      <c r="K150" s="112"/>
      <c r="L150" s="112"/>
      <c r="M150" s="113"/>
      <c r="N150" s="113"/>
      <c r="O150" s="113"/>
      <c r="P150" s="113"/>
      <c r="Q150" s="112"/>
      <c r="R150" s="112"/>
    </row>
    <row r="151" spans="1:18" ht="12" customHeight="1">
      <c r="A151" s="112"/>
      <c r="B151" s="112"/>
      <c r="C151" s="112"/>
      <c r="D151" s="112"/>
      <c r="E151" s="112"/>
      <c r="F151" s="112"/>
      <c r="G151" s="112"/>
      <c r="H151" s="112"/>
      <c r="I151" s="112"/>
      <c r="J151" s="112"/>
      <c r="K151" s="112"/>
      <c r="L151" s="112"/>
      <c r="M151" s="113"/>
      <c r="N151" s="113"/>
      <c r="O151" s="113"/>
      <c r="P151" s="113"/>
      <c r="Q151" s="112"/>
      <c r="R151" s="112"/>
    </row>
    <row r="152" spans="1:18" ht="12" customHeight="1">
      <c r="A152" s="112"/>
      <c r="B152" s="112"/>
      <c r="C152" s="112"/>
      <c r="D152" s="112"/>
      <c r="E152" s="112"/>
      <c r="F152" s="112"/>
      <c r="G152" s="112"/>
      <c r="H152" s="112"/>
      <c r="I152" s="112"/>
      <c r="J152" s="112"/>
      <c r="K152" s="112"/>
      <c r="L152" s="112"/>
      <c r="M152" s="113"/>
      <c r="N152" s="113"/>
      <c r="O152" s="113"/>
      <c r="P152" s="113"/>
      <c r="Q152" s="112"/>
      <c r="R152" s="112"/>
    </row>
    <row r="153" spans="1:18" ht="12" customHeight="1">
      <c r="A153" s="112"/>
      <c r="B153" s="112"/>
      <c r="C153" s="112"/>
      <c r="D153" s="112"/>
      <c r="E153" s="112"/>
      <c r="F153" s="112"/>
      <c r="G153" s="112"/>
      <c r="H153" s="112"/>
      <c r="I153" s="112"/>
      <c r="J153" s="112"/>
      <c r="K153" s="112"/>
      <c r="L153" s="112"/>
      <c r="M153" s="113"/>
      <c r="N153" s="113"/>
      <c r="O153" s="113"/>
      <c r="P153" s="113"/>
      <c r="Q153" s="112"/>
      <c r="R153" s="112"/>
    </row>
    <row r="154" spans="1:18" ht="12" customHeight="1">
      <c r="A154" s="112"/>
      <c r="B154" s="112"/>
      <c r="C154" s="112"/>
      <c r="D154" s="112"/>
      <c r="E154" s="112"/>
      <c r="F154" s="112"/>
      <c r="G154" s="112"/>
      <c r="H154" s="112"/>
      <c r="I154" s="112"/>
      <c r="J154" s="112"/>
      <c r="K154" s="112"/>
      <c r="L154" s="112"/>
      <c r="M154" s="113"/>
      <c r="N154" s="113"/>
      <c r="O154" s="113"/>
      <c r="P154" s="113"/>
      <c r="Q154" s="112"/>
      <c r="R154" s="112"/>
    </row>
    <row r="155" spans="1:18" ht="12" customHeight="1">
      <c r="A155" s="112"/>
      <c r="B155" s="112"/>
      <c r="C155" s="112"/>
      <c r="D155" s="112"/>
      <c r="E155" s="112"/>
      <c r="F155" s="112"/>
      <c r="G155" s="112"/>
      <c r="H155" s="112"/>
      <c r="I155" s="112"/>
      <c r="J155" s="112"/>
      <c r="K155" s="112"/>
      <c r="L155" s="112"/>
      <c r="M155" s="113"/>
      <c r="N155" s="113"/>
      <c r="O155" s="113"/>
      <c r="P155" s="113"/>
      <c r="Q155" s="112"/>
      <c r="R155" s="112"/>
    </row>
    <row r="156" spans="1:18" ht="12" customHeight="1">
      <c r="A156" s="112"/>
      <c r="B156" s="112"/>
      <c r="C156" s="112"/>
      <c r="D156" s="112"/>
      <c r="E156" s="112"/>
      <c r="F156" s="112"/>
      <c r="G156" s="112"/>
      <c r="H156" s="112"/>
      <c r="I156" s="112"/>
      <c r="J156" s="112"/>
      <c r="K156" s="112"/>
      <c r="L156" s="112"/>
      <c r="M156" s="113"/>
      <c r="N156" s="113"/>
      <c r="O156" s="113"/>
      <c r="P156" s="113"/>
      <c r="Q156" s="112"/>
      <c r="R156" s="112"/>
    </row>
    <row r="157" spans="1:18" ht="12" customHeight="1">
      <c r="A157" s="112"/>
      <c r="B157" s="112"/>
      <c r="C157" s="112"/>
      <c r="D157" s="112"/>
      <c r="E157" s="112"/>
      <c r="F157" s="112"/>
      <c r="G157" s="112"/>
      <c r="H157" s="112"/>
      <c r="I157" s="112"/>
      <c r="J157" s="112"/>
      <c r="K157" s="112"/>
      <c r="L157" s="112"/>
      <c r="M157" s="113"/>
      <c r="N157" s="113"/>
      <c r="O157" s="113"/>
      <c r="P157" s="113"/>
      <c r="Q157" s="112"/>
      <c r="R157" s="112"/>
    </row>
    <row r="158" spans="1:18" ht="12" customHeight="1">
      <c r="A158" s="112"/>
      <c r="B158" s="112"/>
      <c r="C158" s="112"/>
      <c r="D158" s="112"/>
      <c r="E158" s="112"/>
      <c r="F158" s="112"/>
      <c r="G158" s="112"/>
      <c r="H158" s="112"/>
      <c r="I158" s="112"/>
      <c r="J158" s="112"/>
      <c r="K158" s="112"/>
      <c r="L158" s="112"/>
      <c r="M158" s="113"/>
      <c r="N158" s="113"/>
      <c r="O158" s="113"/>
      <c r="P158" s="113"/>
      <c r="Q158" s="112"/>
      <c r="R158" s="112"/>
    </row>
    <row r="159" spans="1:18" ht="12" customHeight="1">
      <c r="A159" s="112"/>
      <c r="B159" s="112"/>
      <c r="C159" s="112"/>
      <c r="D159" s="112"/>
      <c r="E159" s="112"/>
      <c r="F159" s="112"/>
      <c r="G159" s="112"/>
      <c r="H159" s="112"/>
      <c r="I159" s="112"/>
      <c r="J159" s="112"/>
      <c r="K159" s="112"/>
      <c r="L159" s="112"/>
      <c r="M159" s="113"/>
      <c r="N159" s="113"/>
      <c r="O159" s="113"/>
      <c r="P159" s="113"/>
      <c r="Q159" s="112"/>
      <c r="R159" s="112"/>
    </row>
    <row r="160" spans="1:18" ht="12" customHeight="1">
      <c r="A160" s="112"/>
      <c r="B160" s="112"/>
      <c r="C160" s="112"/>
      <c r="D160" s="112"/>
      <c r="E160" s="112"/>
      <c r="F160" s="112"/>
      <c r="G160" s="112"/>
      <c r="H160" s="112"/>
      <c r="I160" s="112"/>
      <c r="J160" s="112"/>
      <c r="K160" s="112"/>
      <c r="L160" s="112"/>
      <c r="M160" s="113"/>
      <c r="N160" s="113"/>
      <c r="O160" s="113"/>
      <c r="P160" s="113"/>
      <c r="Q160" s="112"/>
      <c r="R160" s="112"/>
    </row>
    <row r="161" spans="1:18" ht="12" customHeight="1">
      <c r="A161" s="112"/>
      <c r="B161" s="112"/>
      <c r="C161" s="112"/>
      <c r="D161" s="112"/>
      <c r="E161" s="112"/>
      <c r="F161" s="112"/>
      <c r="G161" s="112"/>
      <c r="H161" s="112"/>
      <c r="I161" s="112"/>
      <c r="J161" s="112"/>
      <c r="K161" s="112"/>
      <c r="L161" s="112"/>
      <c r="M161" s="113"/>
      <c r="N161" s="113"/>
      <c r="O161" s="113"/>
      <c r="P161" s="113"/>
      <c r="Q161" s="112"/>
      <c r="R161" s="112"/>
    </row>
    <row r="162" spans="1:18" ht="12" customHeight="1">
      <c r="A162" s="112"/>
      <c r="B162" s="112"/>
      <c r="C162" s="112"/>
      <c r="D162" s="112"/>
      <c r="E162" s="112"/>
      <c r="F162" s="112"/>
      <c r="G162" s="112"/>
      <c r="H162" s="112"/>
      <c r="I162" s="112"/>
      <c r="J162" s="112"/>
      <c r="K162" s="112"/>
      <c r="L162" s="112"/>
      <c r="M162" s="113"/>
      <c r="N162" s="113"/>
      <c r="O162" s="113"/>
      <c r="P162" s="113"/>
      <c r="Q162" s="112"/>
      <c r="R162" s="112"/>
    </row>
    <row r="163" spans="1:18" ht="12" customHeight="1">
      <c r="A163" s="112"/>
      <c r="B163" s="112"/>
      <c r="C163" s="112"/>
      <c r="D163" s="112"/>
      <c r="E163" s="112"/>
      <c r="F163" s="112"/>
      <c r="G163" s="112"/>
      <c r="H163" s="112"/>
      <c r="I163" s="112"/>
      <c r="J163" s="112"/>
      <c r="K163" s="112"/>
      <c r="L163" s="112"/>
      <c r="M163" s="113"/>
      <c r="N163" s="113"/>
      <c r="O163" s="113"/>
      <c r="P163" s="113"/>
      <c r="Q163" s="112"/>
      <c r="R163" s="112"/>
    </row>
  </sheetData>
  <sheetProtection algorithmName="SHA-512" hashValue="jF+acagFv2/gfHU4mkfV5TOc6rDfOJkH8Rk8Wkq/Y8p081oD81cwEKCw+88HFRiAI1Xuslog7yc+l3oSCm32xA==" saltValue="ly9IWvYfQ5TfgSmn8iIpGg==" spinCount="100000" sheet="1"/>
  <mergeCells count="67">
    <mergeCell ref="K51:L51"/>
    <mergeCell ref="K52:L52"/>
    <mergeCell ref="K53:L53"/>
    <mergeCell ref="B58:Q58"/>
    <mergeCell ref="M45:M46"/>
    <mergeCell ref="N45:N46"/>
    <mergeCell ref="O45:O46"/>
    <mergeCell ref="P45:P46"/>
    <mergeCell ref="K49:L49"/>
    <mergeCell ref="K50:L50"/>
    <mergeCell ref="N32:N33"/>
    <mergeCell ref="O32:O33"/>
    <mergeCell ref="P32:P33"/>
    <mergeCell ref="J38:J42"/>
    <mergeCell ref="K38:K42"/>
    <mergeCell ref="L38:L42"/>
    <mergeCell ref="M38:M39"/>
    <mergeCell ref="N38:N39"/>
    <mergeCell ref="O38:O39"/>
    <mergeCell ref="P38:P39"/>
    <mergeCell ref="F32:H32"/>
    <mergeCell ref="J32:J37"/>
    <mergeCell ref="K32:K37"/>
    <mergeCell ref="L32:L37"/>
    <mergeCell ref="M32:M33"/>
    <mergeCell ref="N25:N26"/>
    <mergeCell ref="O25:O26"/>
    <mergeCell ref="P25:P26"/>
    <mergeCell ref="F26:H26"/>
    <mergeCell ref="F30:H30"/>
    <mergeCell ref="F25:H25"/>
    <mergeCell ref="J25:J31"/>
    <mergeCell ref="K25:K31"/>
    <mergeCell ref="L25:L31"/>
    <mergeCell ref="M25:M26"/>
    <mergeCell ref="F31:H31"/>
    <mergeCell ref="N19:N20"/>
    <mergeCell ref="O19:O20"/>
    <mergeCell ref="P19:P20"/>
    <mergeCell ref="F20:H20"/>
    <mergeCell ref="F21:H21"/>
    <mergeCell ref="F19:H19"/>
    <mergeCell ref="J19:J24"/>
    <mergeCell ref="K19:K24"/>
    <mergeCell ref="L19:L24"/>
    <mergeCell ref="M19:M20"/>
    <mergeCell ref="G22:H22"/>
    <mergeCell ref="G23:H23"/>
    <mergeCell ref="M10:M11"/>
    <mergeCell ref="N10:N11"/>
    <mergeCell ref="O10:O11"/>
    <mergeCell ref="P10:P11"/>
    <mergeCell ref="F11:I11"/>
    <mergeCell ref="B10:B14"/>
    <mergeCell ref="F10:H10"/>
    <mergeCell ref="J10:J18"/>
    <mergeCell ref="K10:K18"/>
    <mergeCell ref="L10:L18"/>
    <mergeCell ref="M4:M8"/>
    <mergeCell ref="N4:N8"/>
    <mergeCell ref="O4:O8"/>
    <mergeCell ref="P4:P8"/>
    <mergeCell ref="F7:G7"/>
    <mergeCell ref="H7:I7"/>
    <mergeCell ref="F8:J8"/>
    <mergeCell ref="E4:J6"/>
    <mergeCell ref="K4:L7"/>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9"/>
  <sheetViews>
    <sheetView showGridLines="0" topLeftCell="A3" zoomScale="75" zoomScaleNormal="75" workbookViewId="0">
      <selection activeCell="G17" sqref="G17"/>
    </sheetView>
  </sheetViews>
  <sheetFormatPr baseColWidth="10" defaultColWidth="10.6640625" defaultRowHeight="12.75" customHeight="1"/>
  <cols>
    <col min="1" max="1" width="2.6640625" style="250" customWidth="1"/>
    <col min="2" max="2" width="22.33203125" style="250" customWidth="1"/>
    <col min="3" max="3" width="4" style="250" customWidth="1"/>
    <col min="4" max="4" width="3" style="250" customWidth="1"/>
    <col min="5" max="5" width="4" style="250" customWidth="1"/>
    <col min="6" max="6" width="16.33203125" style="250" customWidth="1"/>
    <col min="7" max="7" width="4" style="250" customWidth="1"/>
    <col min="8" max="8" width="3" style="250" customWidth="1"/>
    <col min="9" max="9" width="4" style="250" customWidth="1"/>
    <col min="10" max="10" width="17.6640625" style="250" customWidth="1"/>
    <col min="11" max="11" width="4" style="250" customWidth="1"/>
    <col min="12" max="12" width="3" style="250" customWidth="1"/>
    <col min="13" max="13" width="7.33203125" style="250" customWidth="1"/>
    <col min="14" max="14" width="21.33203125" style="250" customWidth="1"/>
    <col min="15" max="15" width="4" style="250" customWidth="1"/>
    <col min="16" max="16" width="3" style="250" customWidth="1"/>
    <col min="17" max="17" width="4" style="250" customWidth="1"/>
    <col min="18" max="18" width="21" style="250" customWidth="1"/>
    <col min="19" max="16384" width="10.6640625" style="250"/>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Gemeinwohl-Bilanz-Rechner - Version 5.05</v>
      </c>
      <c r="C2" s="251"/>
      <c r="D2" s="251"/>
      <c r="E2" s="251"/>
      <c r="F2" s="251"/>
      <c r="G2" s="252"/>
      <c r="H2" s="253"/>
      <c r="I2" s="596" t="str">
        <f>'12.lan'!D212</f>
        <v>Anmerkung: Dies ist kein Testat.</v>
      </c>
      <c r="J2" s="596"/>
      <c r="K2" s="596"/>
      <c r="L2" s="596"/>
      <c r="M2" s="596"/>
      <c r="N2" s="596"/>
      <c r="O2" s="596"/>
      <c r="P2" s="9"/>
      <c r="Q2" s="9"/>
      <c r="R2" s="9"/>
    </row>
    <row r="3" spans="1:18" ht="5.25" customHeight="1">
      <c r="A3" s="9"/>
      <c r="B3" s="597" t="str">
        <f>'12.lan'!D213</f>
        <v>GEMEINWOHL-MATRIX</v>
      </c>
      <c r="C3" s="597"/>
      <c r="D3" s="597"/>
      <c r="E3" s="597"/>
      <c r="F3" s="597"/>
      <c r="G3" s="597"/>
      <c r="H3" s="254"/>
      <c r="I3" s="254"/>
      <c r="J3" s="254"/>
      <c r="K3" s="9"/>
      <c r="L3" s="9"/>
      <c r="M3" s="255"/>
      <c r="N3" s="255"/>
      <c r="O3" s="255"/>
      <c r="P3" s="9"/>
      <c r="Q3" s="9"/>
      <c r="R3" s="9"/>
    </row>
    <row r="4" spans="1:18" ht="15" customHeight="1">
      <c r="A4" s="9"/>
      <c r="B4" s="597"/>
      <c r="C4" s="597"/>
      <c r="D4" s="597"/>
      <c r="E4" s="597"/>
      <c r="F4" s="597"/>
      <c r="G4" s="597"/>
      <c r="H4" s="254"/>
      <c r="I4" s="598" t="str">
        <f>'12.lan'!D92</f>
        <v>BILANZSUMME:</v>
      </c>
      <c r="J4" s="598"/>
      <c r="K4" s="599">
        <f>'3. Calc'!I4</f>
        <v>0</v>
      </c>
      <c r="L4" s="599"/>
      <c r="M4" s="600" t="str">
        <f>'12.lan'!D214&amp;" "&amp;'3. Calc'!$J$4&amp;'12.lan'!D215</f>
        <v xml:space="preserve"> von  1000 Punkten</v>
      </c>
      <c r="N4" s="600"/>
      <c r="O4" s="600"/>
      <c r="P4" s="9"/>
      <c r="Q4" s="9"/>
      <c r="R4" s="9"/>
    </row>
    <row r="5" spans="1:18" ht="12.75" customHeight="1">
      <c r="A5" s="9"/>
      <c r="B5" s="10" t="str">
        <f>'12.lan'!D82&amp;": "&amp;'1. General'!C6&amp;"; "&amp;'12.lan'!D83&amp;": "&amp;'1. General'!C12</f>
        <v xml:space="preserve">Unternehmen: ; Bilanz-Jahr: </v>
      </c>
      <c r="C5" s="33"/>
      <c r="D5" s="33"/>
      <c r="E5" s="33"/>
      <c r="F5" s="256"/>
      <c r="G5" s="252"/>
      <c r="H5" s="253"/>
      <c r="I5" s="598"/>
      <c r="J5" s="598"/>
      <c r="K5" s="599"/>
      <c r="L5" s="599"/>
      <c r="M5" s="600"/>
      <c r="N5" s="600"/>
      <c r="O5" s="600"/>
      <c r="P5" s="9"/>
      <c r="Q5" s="9"/>
      <c r="R5" s="9"/>
    </row>
    <row r="6" spans="1:18" ht="18" customHeight="1">
      <c r="A6" s="9"/>
      <c r="B6" s="9"/>
      <c r="C6" s="9"/>
      <c r="D6" s="9"/>
      <c r="E6" s="9"/>
      <c r="F6" s="9"/>
      <c r="G6" s="9"/>
      <c r="H6" s="9"/>
      <c r="I6" s="9"/>
      <c r="J6" s="9"/>
      <c r="K6" s="9"/>
      <c r="L6" s="9"/>
      <c r="M6" s="601"/>
      <c r="N6" s="601"/>
      <c r="O6" s="601"/>
      <c r="P6" s="9"/>
      <c r="Q6" s="9"/>
      <c r="R6" s="9"/>
    </row>
    <row r="7" spans="1:18" ht="36" customHeight="1">
      <c r="A7" s="9"/>
      <c r="B7" s="257" t="str">
        <f>'12.lan'!D206</f>
        <v>Werte ►
Berührungsgruppe ▼</v>
      </c>
      <c r="C7" s="602" t="str">
        <f>'12.lan'!D216</f>
        <v>Menschenwürde</v>
      </c>
      <c r="D7" s="602"/>
      <c r="E7" s="602"/>
      <c r="F7" s="602"/>
      <c r="G7" s="602" t="str">
        <f>'12.lan'!D217</f>
        <v>Solidarität &amp; Gerechtigkeit</v>
      </c>
      <c r="H7" s="602"/>
      <c r="I7" s="602"/>
      <c r="J7" s="602"/>
      <c r="K7" s="603" t="str">
        <f>'12.lan'!D218</f>
        <v>Ökologische Nachhaltigkeit</v>
      </c>
      <c r="L7" s="603"/>
      <c r="M7" s="603"/>
      <c r="N7" s="603"/>
      <c r="O7" s="602" t="str">
        <f>'12.lan'!D219</f>
        <v>Transparenz &amp; Mitentscheidung</v>
      </c>
      <c r="P7" s="602"/>
      <c r="Q7" s="602"/>
      <c r="R7" s="602"/>
    </row>
    <row r="8" spans="1:18" ht="53.25" customHeight="1">
      <c r="A8" s="9"/>
      <c r="B8" s="604" t="str">
        <f>"A: "&amp;'12.lan'!D108</f>
        <v>A: Lieferant*innen</v>
      </c>
      <c r="C8" s="605" t="str">
        <f>'12.lan'!B109</f>
        <v>A1: Menschenwürde in der Zulieferkette</v>
      </c>
      <c r="D8" s="605"/>
      <c r="E8" s="605"/>
      <c r="F8" s="605"/>
      <c r="G8" s="605" t="str">
        <f>'12.lan'!B112</f>
        <v>A2: Solidarität und Gerechtigkeit in der Zulieferkette</v>
      </c>
      <c r="H8" s="605"/>
      <c r="I8" s="605"/>
      <c r="J8" s="605"/>
      <c r="K8" s="605" t="str">
        <f>'12.lan'!B116</f>
        <v>A3: Ökologische Nachhaltigkeit in der Zulieferkette</v>
      </c>
      <c r="L8" s="605"/>
      <c r="M8" s="605"/>
      <c r="N8" s="605"/>
      <c r="O8" s="605" t="str">
        <f>'12.lan'!B119</f>
        <v>A4: Transparenz und Mitentscheidung in der Zulieferkette</v>
      </c>
      <c r="P8" s="605"/>
      <c r="Q8" s="605"/>
      <c r="R8" s="605"/>
    </row>
    <row r="9" spans="1:18" ht="21" customHeight="1">
      <c r="A9" s="9"/>
      <c r="B9" s="604"/>
      <c r="C9" s="258">
        <f>'3. Calc'!I10</f>
        <v>0</v>
      </c>
      <c r="D9" s="259" t="str">
        <f>'12.lan'!$D$214</f>
        <v xml:space="preserve"> von </v>
      </c>
      <c r="E9" s="260">
        <f>'3. Calc'!J10</f>
        <v>51.282051282051277</v>
      </c>
      <c r="F9" s="261">
        <f>'3. Calc'!H10</f>
        <v>0</v>
      </c>
      <c r="G9" s="258">
        <f>'3. Calc'!I13</f>
        <v>0</v>
      </c>
      <c r="H9" s="259" t="str">
        <f>'12.lan'!$D$214</f>
        <v xml:space="preserve"> von </v>
      </c>
      <c r="I9" s="260">
        <f>'3. Calc'!J13</f>
        <v>51.282051282051277</v>
      </c>
      <c r="J9" s="261">
        <f>'3. Calc'!H13</f>
        <v>0</v>
      </c>
      <c r="K9" s="258">
        <f>'3. Calc'!I17</f>
        <v>0</v>
      </c>
      <c r="L9" s="259" t="str">
        <f>'12.lan'!$D$214</f>
        <v xml:space="preserve"> von </v>
      </c>
      <c r="M9" s="260">
        <f>'3. Calc'!J17</f>
        <v>51.282051282051277</v>
      </c>
      <c r="N9" s="261">
        <f>'3. Calc'!H17</f>
        <v>0</v>
      </c>
      <c r="O9" s="258">
        <f>'3. Calc'!I20</f>
        <v>0</v>
      </c>
      <c r="P9" s="259" t="str">
        <f>'12.lan'!$D$214</f>
        <v xml:space="preserve"> von </v>
      </c>
      <c r="Q9" s="260">
        <f>'3. Calc'!J20</f>
        <v>25.641025641025639</v>
      </c>
      <c r="R9" s="261">
        <f>'3. Calc'!H20</f>
        <v>0</v>
      </c>
    </row>
    <row r="10" spans="1:18" ht="45" customHeight="1">
      <c r="A10" s="9"/>
      <c r="B10" s="606" t="str">
        <f>"B: "&amp;'12.lan'!D122</f>
        <v>B: Eigentümer*innen und Finanzpartner*innen</v>
      </c>
      <c r="C10" s="605" t="str">
        <f>'12.lan'!B123</f>
        <v>B1: Ethische Haltung im Umgang mit Geldmitteln</v>
      </c>
      <c r="D10" s="605"/>
      <c r="E10" s="605"/>
      <c r="F10" s="605"/>
      <c r="G10" s="605" t="str">
        <f>'12.lan'!B127</f>
        <v>B2: Soziale Haltung im Umgang mit Geldmitteln</v>
      </c>
      <c r="H10" s="605"/>
      <c r="I10" s="605"/>
      <c r="J10" s="605"/>
      <c r="K10" s="605" t="str">
        <f>'12.lan'!B130</f>
        <v>B3: Sozial-ökologische Investitionen und Mittelverwendung</v>
      </c>
      <c r="L10" s="605"/>
      <c r="M10" s="605"/>
      <c r="N10" s="605"/>
      <c r="O10" s="605" t="str">
        <f>'12.lan'!B134&amp;IF('9. Weighting'!I28=1,'12.lan'!D211,"")</f>
        <v>B4: Eigentum und Mitentscheidung</v>
      </c>
      <c r="P10" s="605"/>
      <c r="Q10" s="605"/>
      <c r="R10" s="605"/>
    </row>
    <row r="11" spans="1:18" ht="28.5" customHeight="1">
      <c r="A11" s="9"/>
      <c r="B11" s="606"/>
      <c r="C11" s="258">
        <f>'3. Calc'!I24</f>
        <v>0</v>
      </c>
      <c r="D11" s="259" t="str">
        <f>'12.lan'!$D$214</f>
        <v xml:space="preserve"> von </v>
      </c>
      <c r="E11" s="260">
        <f>'3. Calc'!J24</f>
        <v>51.282051282051277</v>
      </c>
      <c r="F11" s="261">
        <f>'3. Calc'!H24</f>
        <v>0</v>
      </c>
      <c r="G11" s="258">
        <f>'3. Calc'!I28</f>
        <v>0</v>
      </c>
      <c r="H11" s="259" t="str">
        <f>'12.lan'!$D$214</f>
        <v xml:space="preserve"> von </v>
      </c>
      <c r="I11" s="260">
        <f>'3. Calc'!J28</f>
        <v>51.282051282051277</v>
      </c>
      <c r="J11" s="261">
        <f>'3. Calc'!H28</f>
        <v>0</v>
      </c>
      <c r="K11" s="258">
        <f>'3. Calc'!I31</f>
        <v>0</v>
      </c>
      <c r="L11" s="259" t="str">
        <f>'12.lan'!$D$214</f>
        <v xml:space="preserve"> von </v>
      </c>
      <c r="M11" s="260">
        <f>'3. Calc'!J31</f>
        <v>51.282051282051277</v>
      </c>
      <c r="N11" s="261">
        <f>'3. Calc'!H31</f>
        <v>0</v>
      </c>
      <c r="O11" s="258">
        <f>'3. Calc'!I35</f>
        <v>0</v>
      </c>
      <c r="P11" s="259" t="str">
        <f>'12.lan'!$D$214</f>
        <v xml:space="preserve"> von </v>
      </c>
      <c r="Q11" s="260">
        <f>'3. Calc'!J35</f>
        <v>51.282051282051277</v>
      </c>
      <c r="R11" s="261">
        <f>'3. Calc'!H35</f>
        <v>0</v>
      </c>
    </row>
    <row r="12" spans="1:18" ht="50.25" customHeight="1">
      <c r="A12" s="9"/>
      <c r="B12" s="607" t="str">
        <f>"C: "&amp;'12.lan'!D137</f>
        <v>C: Mitarbeitende</v>
      </c>
      <c r="C12" s="605" t="str">
        <f>'12.lan'!B138</f>
        <v>C1: Menschenwürde am Arbeitsplatz</v>
      </c>
      <c r="D12" s="605"/>
      <c r="E12" s="605"/>
      <c r="F12" s="605"/>
      <c r="G12" s="605" t="str">
        <f>'12.lan'!B143</f>
        <v>C2: Ausgestaltung der Arbeitsverträge</v>
      </c>
      <c r="H12" s="605"/>
      <c r="I12" s="605"/>
      <c r="J12" s="605"/>
      <c r="K12" s="605" t="str">
        <f>'12.lan'!B148</f>
        <v>C3: Förderung des ökologischen Verhaltens der Mitarbeitenden</v>
      </c>
      <c r="L12" s="605"/>
      <c r="M12" s="605"/>
      <c r="N12" s="605"/>
      <c r="O12" s="605" t="str">
        <f>'12.lan'!B153</f>
        <v>C4: Innerbetriebliche Mitentscheidung und Transparenz</v>
      </c>
      <c r="P12" s="605"/>
      <c r="Q12" s="605"/>
      <c r="R12" s="605"/>
    </row>
    <row r="13" spans="1:18" ht="16.5" customHeight="1">
      <c r="A13" s="9"/>
      <c r="B13" s="607"/>
      <c r="C13" s="258">
        <f>'3. Calc'!I39</f>
        <v>0</v>
      </c>
      <c r="D13" s="259" t="str">
        <f>'12.lan'!$D$214</f>
        <v xml:space="preserve"> von </v>
      </c>
      <c r="E13" s="260">
        <f>'3. Calc'!J39</f>
        <v>51.282051282051277</v>
      </c>
      <c r="F13" s="261">
        <f>'3. Calc'!H39</f>
        <v>0</v>
      </c>
      <c r="G13" s="258">
        <f>'3. Calc'!I44</f>
        <v>0</v>
      </c>
      <c r="H13" s="259" t="str">
        <f>'12.lan'!$D$214</f>
        <v xml:space="preserve"> von </v>
      </c>
      <c r="I13" s="260">
        <f>'3. Calc'!J44</f>
        <v>51.282051282051277</v>
      </c>
      <c r="J13" s="261">
        <f>'3. Calc'!H44</f>
        <v>0</v>
      </c>
      <c r="K13" s="258">
        <f>'3. Calc'!I49</f>
        <v>0</v>
      </c>
      <c r="L13" s="259" t="str">
        <f>'12.lan'!$D$214</f>
        <v xml:space="preserve"> von </v>
      </c>
      <c r="M13" s="260">
        <f>'3. Calc'!J49</f>
        <v>51.282051282051277</v>
      </c>
      <c r="N13" s="261">
        <f>'3. Calc'!H49</f>
        <v>0</v>
      </c>
      <c r="O13" s="258">
        <f>'3. Calc'!I54</f>
        <v>0</v>
      </c>
      <c r="P13" s="259" t="str">
        <f>'12.lan'!$D$214</f>
        <v xml:space="preserve"> von </v>
      </c>
      <c r="Q13" s="260">
        <f>'3. Calc'!J54</f>
        <v>51.282051282051277</v>
      </c>
      <c r="R13" s="261">
        <f>'3. Calc'!H54</f>
        <v>0</v>
      </c>
    </row>
    <row r="14" spans="1:18" ht="50.25" customHeight="1">
      <c r="A14" s="9"/>
      <c r="B14" s="607" t="str">
        <f>"D: "&amp;'12.lan'!D158</f>
        <v>D: Kund*nnen und Mitunternehmen</v>
      </c>
      <c r="C14" s="605" t="str">
        <f>'12.lan'!B159</f>
        <v>D1: Ethische Kund*innenbeziehungen</v>
      </c>
      <c r="D14" s="605"/>
      <c r="E14" s="605"/>
      <c r="F14" s="605"/>
      <c r="G14" s="605" t="str">
        <f>'12.lan'!B163</f>
        <v>D2: Kooperation und Solidarität mit Mitunternehmen</v>
      </c>
      <c r="H14" s="605"/>
      <c r="I14" s="605"/>
      <c r="J14" s="605"/>
      <c r="K14" s="605" t="str">
        <f>'12.lan'!B167</f>
        <v>D3: Ökologische Auswirkung durch Nutzung und Entsorgung von Produkten und Dienstleistungen</v>
      </c>
      <c r="L14" s="605"/>
      <c r="M14" s="605"/>
      <c r="N14" s="605"/>
      <c r="O14" s="605" t="str">
        <f>'12.lan'!B171</f>
        <v>D4: Kund*innen-Mitwirkung und Produkttransparenz</v>
      </c>
      <c r="P14" s="605"/>
      <c r="Q14" s="605"/>
      <c r="R14" s="605"/>
    </row>
    <row r="15" spans="1:18" ht="16.5" customHeight="1">
      <c r="A15" s="9"/>
      <c r="B15" s="607"/>
      <c r="C15" s="258">
        <f>'3. Calc'!I60</f>
        <v>0</v>
      </c>
      <c r="D15" s="259" t="str">
        <f>'12.lan'!$D$214</f>
        <v xml:space="preserve"> von </v>
      </c>
      <c r="E15" s="260">
        <f>'3. Calc'!J60</f>
        <v>51.282051282051277</v>
      </c>
      <c r="F15" s="261">
        <f>'3. Calc'!H60</f>
        <v>0</v>
      </c>
      <c r="G15" s="258">
        <f>'3. Calc'!I64</f>
        <v>0</v>
      </c>
      <c r="H15" s="259" t="str">
        <f>'12.lan'!$D$214</f>
        <v xml:space="preserve"> von </v>
      </c>
      <c r="I15" s="260">
        <f>'3. Calc'!J64</f>
        <v>51.282051282051277</v>
      </c>
      <c r="J15" s="261">
        <f>'3. Calc'!H64</f>
        <v>0</v>
      </c>
      <c r="K15" s="258">
        <f>'3. Calc'!I68</f>
        <v>0</v>
      </c>
      <c r="L15" s="259" t="str">
        <f>'12.lan'!$D$214</f>
        <v xml:space="preserve"> von </v>
      </c>
      <c r="M15" s="260">
        <f>'3. Calc'!J68</f>
        <v>51.282051282051277</v>
      </c>
      <c r="N15" s="261">
        <f>'3. Calc'!H68</f>
        <v>0</v>
      </c>
      <c r="O15" s="258">
        <f>'3. Calc'!I72</f>
        <v>0</v>
      </c>
      <c r="P15" s="259" t="str">
        <f>'12.lan'!$D$214</f>
        <v xml:space="preserve"> von </v>
      </c>
      <c r="Q15" s="260">
        <f>'3. Calc'!J72</f>
        <v>51.282051282051277</v>
      </c>
      <c r="R15" s="261">
        <f>'3. Calc'!H72</f>
        <v>0</v>
      </c>
    </row>
    <row r="16" spans="1:18" ht="50.25" customHeight="1">
      <c r="A16" s="9"/>
      <c r="B16" s="607" t="str">
        <f>"E: "&amp;'12.lan'!D175</f>
        <v>E: Gesellschaftliches Umfeld</v>
      </c>
      <c r="C16" s="605" t="str">
        <f>'12.lan'!B176</f>
        <v>E1: Sinn und gesellschaftliche Wirkung der Produkte und Dienstleistungen</v>
      </c>
      <c r="D16" s="605"/>
      <c r="E16" s="605"/>
      <c r="F16" s="605"/>
      <c r="G16" s="605" t="str">
        <f>'12.lan'!B180</f>
        <v>E2: Beitrag zum Gemeinwesen</v>
      </c>
      <c r="H16" s="605"/>
      <c r="I16" s="605"/>
      <c r="J16" s="605"/>
      <c r="K16" s="605" t="str">
        <f>'12.lan'!B185</f>
        <v>E3: Reduktion ökologischer Auswirkungen</v>
      </c>
      <c r="L16" s="605"/>
      <c r="M16" s="605"/>
      <c r="N16" s="605"/>
      <c r="O16" s="605" t="str">
        <f>'12.lan'!B189</f>
        <v>E4: Transparenz und gesellschaftliche Mitentscheidung</v>
      </c>
      <c r="P16" s="605"/>
      <c r="Q16" s="605"/>
      <c r="R16" s="605"/>
    </row>
    <row r="17" spans="1:18" ht="16.5" customHeight="1">
      <c r="A17" s="9"/>
      <c r="B17" s="607"/>
      <c r="C17" s="258">
        <f>'3. Calc'!I77</f>
        <v>0</v>
      </c>
      <c r="D17" s="259" t="str">
        <f>'12.lan'!$D$214</f>
        <v xml:space="preserve"> von </v>
      </c>
      <c r="E17" s="260">
        <f>'3. Calc'!J77</f>
        <v>51.282051282051277</v>
      </c>
      <c r="F17" s="261">
        <f>'3. Calc'!H77</f>
        <v>0</v>
      </c>
      <c r="G17" s="258">
        <f>'3. Calc'!I81</f>
        <v>0</v>
      </c>
      <c r="H17" s="259" t="str">
        <f>'12.lan'!$D$214</f>
        <v xml:space="preserve"> von </v>
      </c>
      <c r="I17" s="260">
        <f>'3. Calc'!J81</f>
        <v>51.282051282051277</v>
      </c>
      <c r="J17" s="261">
        <f>'3. Calc'!H81</f>
        <v>0</v>
      </c>
      <c r="K17" s="258">
        <f>'3. Calc'!I86</f>
        <v>0</v>
      </c>
      <c r="L17" s="259" t="str">
        <f>'12.lan'!$D$214</f>
        <v xml:space="preserve"> von </v>
      </c>
      <c r="M17" s="260">
        <f>'3. Calc'!J86</f>
        <v>51.282051282051277</v>
      </c>
      <c r="N17" s="261">
        <f>'3. Calc'!H86</f>
        <v>0</v>
      </c>
      <c r="O17" s="258">
        <f>'3. Calc'!I90</f>
        <v>0</v>
      </c>
      <c r="P17" s="259" t="str">
        <f>'12.lan'!$D$214</f>
        <v xml:space="preserve"> von </v>
      </c>
      <c r="Q17" s="260">
        <f>'3. Calc'!J90</f>
        <v>51.282051282051277</v>
      </c>
      <c r="R17" s="261">
        <f>'3. Calc'!H90</f>
        <v>0</v>
      </c>
    </row>
    <row r="19" spans="1:18" ht="12.75" customHeight="1">
      <c r="B19" s="528" t="str">
        <f>'12.lan'!D46</f>
        <v>Bitte beachten Sie, dass die Zahlenformate in der Matrix gerundet
dargestellt werden</v>
      </c>
    </row>
  </sheetData>
  <sheetProtection algorithmName="SHA-512" hashValue="skS3Cp2v4n6y0c1jdf5Eq5lFe/rlgSLfYPVDb98rRt2l1FFfFQkZ2ENqcVsLN14BykJ4iRRSdftA3VGp25gU6g==" saltValue="EVCPt8gjaSBym1GDgtd4BA==" spinCount="100000" sheet="1" objects="1" scenarios="1"/>
  <mergeCells count="35">
    <mergeCell ref="B16:B17"/>
    <mergeCell ref="C16:F16"/>
    <mergeCell ref="G16:J16"/>
    <mergeCell ref="K16:N16"/>
    <mergeCell ref="O16:R16"/>
    <mergeCell ref="B14:B15"/>
    <mergeCell ref="C14:F14"/>
    <mergeCell ref="G14:J14"/>
    <mergeCell ref="K14:N14"/>
    <mergeCell ref="O14:R14"/>
    <mergeCell ref="B12:B13"/>
    <mergeCell ref="C12:F12"/>
    <mergeCell ref="G12:J12"/>
    <mergeCell ref="K12:N12"/>
    <mergeCell ref="O12:R12"/>
    <mergeCell ref="B10:B11"/>
    <mergeCell ref="C10:F10"/>
    <mergeCell ref="G10:J10"/>
    <mergeCell ref="K10:N10"/>
    <mergeCell ref="O10:R10"/>
    <mergeCell ref="B8:B9"/>
    <mergeCell ref="C8:F8"/>
    <mergeCell ref="G8:J8"/>
    <mergeCell ref="K8:N8"/>
    <mergeCell ref="O8:R8"/>
    <mergeCell ref="M6:O6"/>
    <mergeCell ref="C7:F7"/>
    <mergeCell ref="G7:J7"/>
    <mergeCell ref="K7:N7"/>
    <mergeCell ref="O7:R7"/>
    <mergeCell ref="I2:O2"/>
    <mergeCell ref="B3:G4"/>
    <mergeCell ref="I4:J5"/>
    <mergeCell ref="K4:L5"/>
    <mergeCell ref="M4:O5"/>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10" zoomScale="75" zoomScaleNormal="75" workbookViewId="0">
      <selection activeCell="F18" sqref="F18"/>
    </sheetView>
  </sheetViews>
  <sheetFormatPr baseColWidth="10" defaultColWidth="10.6640625" defaultRowHeight="14.1" customHeight="1"/>
  <cols>
    <col min="1" max="1" width="2.6640625" style="262" customWidth="1"/>
    <col min="2" max="2" width="49.88671875" style="262" customWidth="1"/>
    <col min="3" max="3" width="7.33203125" style="262" customWidth="1"/>
    <col min="4" max="4" width="5.33203125" style="263" customWidth="1"/>
    <col min="5" max="5" width="6.6640625" style="262" customWidth="1"/>
    <col min="6" max="6" width="15" style="264" customWidth="1"/>
    <col min="7" max="7" width="10.6640625" style="265" customWidth="1"/>
    <col min="8" max="16384" width="10.6640625" style="262"/>
  </cols>
  <sheetData>
    <row r="1" spans="1:6" ht="14.1" customHeight="1">
      <c r="A1" s="266"/>
      <c r="B1" s="267"/>
      <c r="C1" s="268"/>
      <c r="D1" s="267"/>
      <c r="E1" s="269"/>
      <c r="F1" s="268"/>
    </row>
    <row r="2" spans="1:6" ht="14.1" customHeight="1">
      <c r="A2" s="266"/>
      <c r="B2" s="608" t="str">
        <f>'12.lan'!D91&amp;" - "&amp;'0. Intro'!B3&amp;" "&amp;'0. Intro'!C3</f>
        <v>Gemeinwohl-Bilanz-Rechner - Version 5.05</v>
      </c>
      <c r="C2" s="608"/>
      <c r="D2" s="608"/>
      <c r="E2" s="608"/>
      <c r="F2" s="608"/>
    </row>
    <row r="3" spans="1:6" ht="7.5" customHeight="1">
      <c r="A3" s="266"/>
      <c r="B3" s="609" t="str">
        <f>'12.lan'!D241&amp;'1. General'!C6</f>
        <v xml:space="preserve">Werte-Stern für </v>
      </c>
      <c r="C3" s="609"/>
      <c r="D3" s="609"/>
      <c r="E3" s="609"/>
      <c r="F3" s="609"/>
    </row>
    <row r="4" spans="1:6" ht="15" customHeight="1">
      <c r="A4" s="266"/>
      <c r="B4" s="609"/>
      <c r="C4" s="609"/>
      <c r="D4" s="609"/>
      <c r="E4" s="609"/>
      <c r="F4" s="609"/>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10"/>
      <c r="C15" s="610"/>
      <c r="D15" s="610"/>
      <c r="E15" s="610"/>
      <c r="F15" s="610"/>
    </row>
    <row r="16" spans="1:6" ht="93.75" customHeight="1">
      <c r="A16" s="266"/>
      <c r="B16" s="611"/>
      <c r="C16" s="611"/>
      <c r="D16" s="611"/>
      <c r="E16" s="611"/>
      <c r="F16" s="611"/>
    </row>
    <row r="17" spans="1:7" ht="30" customHeight="1">
      <c r="A17" s="266"/>
      <c r="B17" s="612" t="str">
        <f>'12.lan'!D221</f>
        <v>BILANZ-ÜBERSICHT</v>
      </c>
      <c r="C17" s="612"/>
      <c r="D17" s="612"/>
      <c r="E17" s="612"/>
      <c r="F17" s="612"/>
    </row>
    <row r="18" spans="1:7" ht="26.25" customHeight="1">
      <c r="A18" s="266"/>
      <c r="B18" s="276" t="str">
        <f>'12.lan'!D216</f>
        <v>Menschenwürde</v>
      </c>
      <c r="C18" s="526">
        <f>'4. ECG-Matrix'!C9+'4. ECG-Matrix'!C11+'4. ECG-Matrix'!C13+'4. ECG-Matrix'!C15+'4. ECG-Matrix'!C17</f>
        <v>0</v>
      </c>
      <c r="D18" s="277" t="str">
        <f>'12.lan'!$D$214</f>
        <v xml:space="preserve"> von </v>
      </c>
      <c r="E18" s="278">
        <f>'4. ECG-Matrix'!E9+'4. ECG-Matrix'!E11+'4. ECG-Matrix'!E13+'4. ECG-Matrix'!E15+'4. ECG-Matrix'!E17</f>
        <v>256.41025641025641</v>
      </c>
      <c r="F18" s="279">
        <f>C18/E18</f>
        <v>0</v>
      </c>
      <c r="G18" s="74">
        <f>IF(F18&lt;0,0,F18)</f>
        <v>0</v>
      </c>
    </row>
    <row r="19" spans="1:7" ht="26.25" customHeight="1">
      <c r="A19" s="266"/>
      <c r="B19" s="276" t="str">
        <f>'12.lan'!D217</f>
        <v>Solidarität &amp; Gerechtigkeit</v>
      </c>
      <c r="C19" s="526">
        <f>'4. ECG-Matrix'!G9+'4. ECG-Matrix'!G11+'4. ECG-Matrix'!G13+'4. ECG-Matrix'!G15+'4. ECG-Matrix'!G17</f>
        <v>0</v>
      </c>
      <c r="D19" s="277" t="str">
        <f>'12.lan'!$D$214</f>
        <v xml:space="preserve"> von </v>
      </c>
      <c r="E19" s="278">
        <f>'4. ECG-Matrix'!I9+'4. ECG-Matrix'!I11+'4. ECG-Matrix'!I13+'4. ECG-Matrix'!I15+'4. ECG-Matrix'!I17</f>
        <v>256.41025641025641</v>
      </c>
      <c r="F19" s="279">
        <f>C19/E19</f>
        <v>0</v>
      </c>
      <c r="G19" s="74">
        <f>IF(F19&lt;0,0,F19)</f>
        <v>0</v>
      </c>
    </row>
    <row r="20" spans="1:7" ht="26.25" customHeight="1">
      <c r="A20" s="266"/>
      <c r="B20" s="276" t="str">
        <f>'12.lan'!D218</f>
        <v>Ökologische Nachhaltigkeit</v>
      </c>
      <c r="C20" s="526">
        <f>'4. ECG-Matrix'!K9+'4. ECG-Matrix'!K11+'4. ECG-Matrix'!K13+'4. ECG-Matrix'!K15+'4. ECG-Matrix'!K17</f>
        <v>0</v>
      </c>
      <c r="D20" s="277" t="str">
        <f>'12.lan'!$D$214</f>
        <v xml:space="preserve"> von </v>
      </c>
      <c r="E20" s="278">
        <f>'4. ECG-Matrix'!M9+'4. ECG-Matrix'!M11+'4. ECG-Matrix'!M13+'4. ECG-Matrix'!M15+'4. ECG-Matrix'!M17</f>
        <v>256.41025641025641</v>
      </c>
      <c r="F20" s="279">
        <f>C20/E20</f>
        <v>0</v>
      </c>
      <c r="G20" s="74">
        <f>IF(F20&lt;0,0,F20)</f>
        <v>0</v>
      </c>
    </row>
    <row r="21" spans="1:7" ht="26.25" customHeight="1">
      <c r="A21" s="266"/>
      <c r="B21" s="276" t="str">
        <f>'12.lan'!D219</f>
        <v>Transparenz &amp; Mitentscheidung</v>
      </c>
      <c r="C21" s="526">
        <f>'4. ECG-Matrix'!O9+'4. ECG-Matrix'!O11+'4. ECG-Matrix'!O13+'4. ECG-Matrix'!O15+'4. ECG-Matrix'!O17</f>
        <v>0</v>
      </c>
      <c r="D21" s="277" t="str">
        <f>'12.lan'!$D$214</f>
        <v xml:space="preserve"> von </v>
      </c>
      <c r="E21" s="278">
        <f>'4. ECG-Matrix'!Q9+'4. ECG-Matrix'!Q11+'4. ECG-Matrix'!Q13+'4. ECG-Matrix'!Q15+'4. ECG-Matrix'!Q17</f>
        <v>230.76923076923075</v>
      </c>
      <c r="F21" s="279">
        <f>C21/E21</f>
        <v>0</v>
      </c>
      <c r="G21" s="74">
        <f>IF(F21&lt;0,0,F21)</f>
        <v>0</v>
      </c>
    </row>
    <row r="22" spans="1:7" ht="30" customHeight="1">
      <c r="A22" s="266"/>
      <c r="B22" s="280" t="str">
        <f>'12.lan'!D228</f>
        <v>SUMME</v>
      </c>
      <c r="C22" s="281">
        <f>'3. Calc'!I4</f>
        <v>0</v>
      </c>
      <c r="D22" s="282" t="str">
        <f>'12.lan'!$D$214</f>
        <v xml:space="preserve"> von </v>
      </c>
      <c r="E22" s="283">
        <f>'3. Calc'!J4</f>
        <v>1000</v>
      </c>
      <c r="F22" s="284">
        <f>C22/E22</f>
        <v>0</v>
      </c>
    </row>
    <row r="23" spans="1:7" ht="14.1" customHeight="1">
      <c r="A23" s="266"/>
      <c r="B23" s="266"/>
      <c r="C23" s="266"/>
      <c r="D23" s="267"/>
      <c r="E23" s="266"/>
      <c r="F23" s="268"/>
    </row>
  </sheetData>
  <sheetProtection algorithmName="SHA-512" hashValue="ga8BGIJXNhNKO+mewoJTBavJhF1bMFPAMREf5XZ3sg4bp9AqSKBYmT9bgcV9U1mu/pS6eyGRowvj9mpg/m049w==" saltValue="LPOcGHxEhxP+H2JEL+J4wA=="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topLeftCell="A10" zoomScale="75" zoomScaleNormal="75" workbookViewId="0">
      <selection activeCell="C22" sqref="C22"/>
    </sheetView>
  </sheetViews>
  <sheetFormatPr baseColWidth="10" defaultColWidth="10.6640625" defaultRowHeight="14.1" customHeight="1"/>
  <cols>
    <col min="1" max="1" width="2.6640625" style="262" customWidth="1"/>
    <col min="2" max="2" width="54.33203125" style="262" customWidth="1"/>
    <col min="3" max="3" width="7.33203125" style="262" customWidth="1"/>
    <col min="4" max="4" width="5.33203125" style="263" customWidth="1"/>
    <col min="5" max="5" width="6.6640625" style="262" customWidth="1"/>
    <col min="6" max="6" width="15" style="264" customWidth="1"/>
    <col min="7" max="7" width="10.6640625" style="265" customWidth="1"/>
    <col min="8" max="16384" width="10.6640625" style="262"/>
  </cols>
  <sheetData>
    <row r="1" spans="1:6" ht="14.1" customHeight="1">
      <c r="A1" s="266"/>
      <c r="B1" s="267"/>
      <c r="C1" s="268"/>
      <c r="D1" s="267"/>
      <c r="E1" s="269"/>
      <c r="F1" s="268"/>
    </row>
    <row r="2" spans="1:6" ht="14.1" customHeight="1">
      <c r="A2" s="266"/>
      <c r="B2" s="608" t="str">
        <f>'12.lan'!D91&amp;" - "&amp;'0. Intro'!B3&amp;" "&amp;'0. Intro'!C3</f>
        <v>Gemeinwohl-Bilanz-Rechner - Version 5.05</v>
      </c>
      <c r="C2" s="608"/>
      <c r="D2" s="608"/>
      <c r="E2" s="608"/>
      <c r="F2" s="608"/>
    </row>
    <row r="3" spans="1:6" ht="7.5" customHeight="1">
      <c r="A3" s="266"/>
      <c r="B3" s="609" t="str">
        <f>'12.lan'!D242&amp;'1. General'!C6</f>
        <v xml:space="preserve">Gruppen-Stern für </v>
      </c>
      <c r="C3" s="609"/>
      <c r="D3" s="609"/>
      <c r="E3" s="609"/>
      <c r="F3" s="609"/>
    </row>
    <row r="4" spans="1:6" ht="15" customHeight="1">
      <c r="A4" s="266"/>
      <c r="B4" s="609"/>
      <c r="C4" s="609"/>
      <c r="D4" s="609"/>
      <c r="E4" s="609"/>
      <c r="F4" s="609"/>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10"/>
      <c r="C15" s="610"/>
      <c r="D15" s="610"/>
      <c r="E15" s="610"/>
      <c r="F15" s="610"/>
    </row>
    <row r="16" spans="1:6" ht="93.75" customHeight="1">
      <c r="A16" s="266"/>
      <c r="B16" s="611"/>
      <c r="C16" s="611"/>
      <c r="D16" s="611"/>
      <c r="E16" s="611"/>
      <c r="F16" s="611"/>
    </row>
    <row r="17" spans="1:7" ht="30" customHeight="1">
      <c r="A17" s="266"/>
      <c r="B17" s="612" t="str">
        <f>'12.lan'!D221</f>
        <v>BILANZ-ÜBERSICHT</v>
      </c>
      <c r="C17" s="612"/>
      <c r="D17" s="612"/>
      <c r="E17" s="612"/>
      <c r="F17" s="612"/>
    </row>
    <row r="18" spans="1:7" ht="26.25" customHeight="1">
      <c r="A18" s="266"/>
      <c r="B18" s="276" t="str">
        <f>'12.lan'!D108</f>
        <v>Lieferant*innen</v>
      </c>
      <c r="C18" s="526">
        <f>'3. Calc'!I9</f>
        <v>0</v>
      </c>
      <c r="D18" s="277" t="str">
        <f>'12.lan'!$D$214</f>
        <v xml:space="preserve"> von </v>
      </c>
      <c r="E18" s="278">
        <f>'3. Calc'!J9</f>
        <v>179.48717948717947</v>
      </c>
      <c r="F18" s="279">
        <f t="shared" ref="F18:F23" si="0">C18/E18</f>
        <v>0</v>
      </c>
      <c r="G18" s="74">
        <f>IF(F18&lt;0,0,F18)</f>
        <v>0</v>
      </c>
    </row>
    <row r="19" spans="1:7" ht="26.25" customHeight="1">
      <c r="A19" s="266"/>
      <c r="B19" s="276" t="str">
        <f>'12.lan'!D122</f>
        <v>Eigentümer*innen und Finanzpartner*innen</v>
      </c>
      <c r="C19" s="526">
        <f>'3. Calc'!I23</f>
        <v>0</v>
      </c>
      <c r="D19" s="277" t="str">
        <f>'12.lan'!$D$214</f>
        <v xml:space="preserve"> von </v>
      </c>
      <c r="E19" s="278">
        <f>'3. Calc'!J23</f>
        <v>205.12820512820511</v>
      </c>
      <c r="F19" s="279">
        <f t="shared" si="0"/>
        <v>0</v>
      </c>
      <c r="G19" s="74">
        <f>IF(F19&lt;0,0,F19)</f>
        <v>0</v>
      </c>
    </row>
    <row r="20" spans="1:7" ht="26.25" customHeight="1">
      <c r="A20" s="266"/>
      <c r="B20" s="276" t="str">
        <f>'12.lan'!D137</f>
        <v>Mitarbeitende</v>
      </c>
      <c r="C20" s="526">
        <f>'3. Calc'!I38</f>
        <v>0</v>
      </c>
      <c r="D20" s="277" t="str">
        <f>'12.lan'!$D$214</f>
        <v xml:space="preserve"> von </v>
      </c>
      <c r="E20" s="278">
        <f>'3. Calc'!J38</f>
        <v>205.12820512820511</v>
      </c>
      <c r="F20" s="279">
        <f t="shared" si="0"/>
        <v>0</v>
      </c>
      <c r="G20" s="74">
        <f>IF(F20&lt;0,0,F20)</f>
        <v>0</v>
      </c>
    </row>
    <row r="21" spans="1:7" ht="26.25" customHeight="1">
      <c r="A21" s="266"/>
      <c r="B21" s="276" t="str">
        <f>'12.lan'!D158</f>
        <v>Kund*nnen und Mitunternehmen</v>
      </c>
      <c r="C21" s="526">
        <f>'3. Calc'!I59</f>
        <v>0</v>
      </c>
      <c r="D21" s="277" t="str">
        <f>'12.lan'!$D$214</f>
        <v xml:space="preserve"> von </v>
      </c>
      <c r="E21" s="278">
        <f>'3. Calc'!J59</f>
        <v>205.12820512820511</v>
      </c>
      <c r="F21" s="279">
        <f t="shared" si="0"/>
        <v>0</v>
      </c>
      <c r="G21" s="74">
        <f>IF(F21&lt;0,0,F21)</f>
        <v>0</v>
      </c>
    </row>
    <row r="22" spans="1:7" ht="26.25" customHeight="1">
      <c r="A22" s="266"/>
      <c r="B22" s="276" t="str">
        <f>'12.lan'!D175</f>
        <v>Gesellschaftliches Umfeld</v>
      </c>
      <c r="C22" s="526">
        <f>'3. Calc'!I76</f>
        <v>0</v>
      </c>
      <c r="D22" s="277" t="str">
        <f>'12.lan'!$D$214</f>
        <v xml:space="preserve"> von </v>
      </c>
      <c r="E22" s="278">
        <f>'3. Calc'!J76</f>
        <v>205.12820512820511</v>
      </c>
      <c r="F22" s="279">
        <f t="shared" si="0"/>
        <v>0</v>
      </c>
      <c r="G22" s="74">
        <f>IF(F22&lt;0,0,F22)</f>
        <v>0</v>
      </c>
    </row>
    <row r="23" spans="1:7" ht="30" customHeight="1">
      <c r="A23" s="266"/>
      <c r="B23" s="280" t="str">
        <f>'12.lan'!D228</f>
        <v>SUMME</v>
      </c>
      <c r="C23" s="281">
        <f>'3. Calc'!I4</f>
        <v>0</v>
      </c>
      <c r="D23" s="282" t="str">
        <f>'12.lan'!$D$214</f>
        <v xml:space="preserve"> von </v>
      </c>
      <c r="E23" s="283">
        <f>'3. Calc'!J4</f>
        <v>1000</v>
      </c>
      <c r="F23" s="284">
        <f t="shared" si="0"/>
        <v>0</v>
      </c>
    </row>
    <row r="24" spans="1:7" ht="14.1" customHeight="1">
      <c r="A24" s="266"/>
      <c r="B24" s="266"/>
      <c r="C24" s="266"/>
      <c r="D24" s="267"/>
      <c r="E24" s="266"/>
      <c r="F24" s="268"/>
    </row>
  </sheetData>
  <sheetProtection algorithmName="SHA-512" hashValue="6Cyeo6f5DBIHa7aeU5XeTp3qHLeHcs10RM8DVsoMbWvdnf38RZPNRyGASNId5q71ByF1xAoWseiuhFCJRI+y/w==" saltValue="a+SPOTJxkcdslkScou2b+g=="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M39"/>
  <sheetViews>
    <sheetView showGridLines="0" zoomScale="75" zoomScaleNormal="75" workbookViewId="0">
      <selection activeCell="C36" sqref="C36"/>
    </sheetView>
  </sheetViews>
  <sheetFormatPr baseColWidth="10" defaultColWidth="10.6640625" defaultRowHeight="14.1" customHeight="1"/>
  <cols>
    <col min="1" max="1" width="2.6640625" style="262" customWidth="1"/>
    <col min="2" max="2" width="49.88671875" style="262" customWidth="1"/>
    <col min="3" max="3" width="7.33203125" style="262" customWidth="1"/>
    <col min="4" max="4" width="5.33203125" style="263" customWidth="1"/>
    <col min="5" max="5" width="6.6640625" style="262" customWidth="1"/>
    <col min="6" max="6" width="15" style="264" customWidth="1"/>
    <col min="7" max="7" width="10.6640625" style="265" customWidth="1"/>
    <col min="8" max="8" width="43.33203125" style="262" customWidth="1"/>
    <col min="9" max="33" width="10.6640625" style="262"/>
    <col min="34" max="34" width="10.6640625" style="263"/>
    <col min="35" max="16384" width="10.6640625" style="262"/>
  </cols>
  <sheetData>
    <row r="1" spans="1:6" ht="14.1" customHeight="1">
      <c r="A1" s="266"/>
      <c r="B1" s="267"/>
      <c r="C1" s="268"/>
      <c r="D1" s="267"/>
      <c r="E1" s="269"/>
      <c r="F1" s="268"/>
    </row>
    <row r="2" spans="1:6" ht="14.1" customHeight="1">
      <c r="A2" s="266"/>
      <c r="B2" s="608" t="str">
        <f>'12.lan'!D91&amp;" - "&amp;'0. Intro'!B3&amp;" "&amp;'0. Intro'!C3</f>
        <v>Gemeinwohl-Bilanz-Rechner - Version 5.05</v>
      </c>
      <c r="C2" s="608"/>
      <c r="D2" s="608"/>
      <c r="E2" s="608"/>
      <c r="F2" s="608"/>
    </row>
    <row r="3" spans="1:6" ht="7.5" customHeight="1">
      <c r="A3" s="266"/>
      <c r="B3" s="609" t="str">
        <f>'12.lan'!D243&amp;'1. General'!C6</f>
        <v xml:space="preserve">Themen-Stern für </v>
      </c>
      <c r="C3" s="609"/>
      <c r="D3" s="609"/>
      <c r="E3" s="609"/>
      <c r="F3" s="609"/>
    </row>
    <row r="4" spans="1:6" ht="15" customHeight="1">
      <c r="A4" s="266"/>
      <c r="B4" s="609"/>
      <c r="C4" s="609"/>
      <c r="D4" s="609"/>
      <c r="E4" s="609"/>
      <c r="F4" s="609"/>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10"/>
      <c r="C15" s="610"/>
      <c r="D15" s="610"/>
      <c r="E15" s="610"/>
      <c r="F15" s="610"/>
    </row>
    <row r="16" spans="1:6" ht="93.75" customHeight="1">
      <c r="A16" s="266"/>
      <c r="B16" s="611"/>
      <c r="C16" s="611"/>
      <c r="D16" s="611"/>
      <c r="E16" s="611"/>
      <c r="F16" s="611"/>
    </row>
    <row r="17" spans="1:39" ht="30" customHeight="1">
      <c r="A17" s="266"/>
      <c r="B17" s="612" t="str">
        <f>'12.lan'!D221</f>
        <v>BILANZ-ÜBERSICHT</v>
      </c>
      <c r="C17" s="612"/>
      <c r="D17" s="612"/>
      <c r="E17" s="612"/>
      <c r="F17" s="612"/>
    </row>
    <row r="18" spans="1:39" s="265" customFormat="1" ht="26.25" customHeight="1">
      <c r="A18" s="266"/>
      <c r="B18" s="276" t="s">
        <v>13</v>
      </c>
      <c r="C18" s="526">
        <f>'4. ECG-Matrix'!C9</f>
        <v>0</v>
      </c>
      <c r="D18" s="277" t="str">
        <f>'12.lan'!$D$214</f>
        <v xml:space="preserve"> von </v>
      </c>
      <c r="E18" s="278">
        <f>'4. ECG-Matrix'!E9</f>
        <v>51.282051282051277</v>
      </c>
      <c r="F18" s="505">
        <f t="shared" ref="F18:F38" si="0">C18/E18</f>
        <v>0</v>
      </c>
      <c r="G18" s="74">
        <f t="shared" ref="G18:G37" si="1">IF(F18&lt;0,0,F18)</f>
        <v>0</v>
      </c>
      <c r="AH18" s="516"/>
      <c r="AI18" s="515"/>
      <c r="AM18" s="515"/>
    </row>
    <row r="19" spans="1:39" s="265" customFormat="1" ht="26.25" customHeight="1">
      <c r="A19" s="266"/>
      <c r="B19" s="276" t="s">
        <v>16</v>
      </c>
      <c r="C19" s="526">
        <f>'4. ECG-Matrix'!G9</f>
        <v>0</v>
      </c>
      <c r="D19" s="277" t="str">
        <f>'12.lan'!$D$214</f>
        <v xml:space="preserve"> von </v>
      </c>
      <c r="E19" s="278">
        <f>'4. ECG-Matrix'!I9</f>
        <v>51.282051282051277</v>
      </c>
      <c r="F19" s="505">
        <f t="shared" si="0"/>
        <v>0</v>
      </c>
      <c r="G19" s="74">
        <f t="shared" si="1"/>
        <v>0</v>
      </c>
      <c r="AH19" s="516"/>
      <c r="AI19" s="515"/>
      <c r="AM19" s="515"/>
    </row>
    <row r="20" spans="1:39" s="265" customFormat="1" ht="26.25" customHeight="1">
      <c r="A20" s="266"/>
      <c r="B20" s="276" t="s">
        <v>20</v>
      </c>
      <c r="C20" s="526">
        <f>'4. ECG-Matrix'!K9</f>
        <v>0</v>
      </c>
      <c r="D20" s="277" t="str">
        <f>'12.lan'!$D$214</f>
        <v xml:space="preserve"> von </v>
      </c>
      <c r="E20" s="278">
        <f>'4. ECG-Matrix'!M9</f>
        <v>51.282051282051277</v>
      </c>
      <c r="F20" s="505">
        <f t="shared" si="0"/>
        <v>0</v>
      </c>
      <c r="G20" s="74">
        <f t="shared" si="1"/>
        <v>0</v>
      </c>
      <c r="AH20" s="516"/>
      <c r="AI20" s="515"/>
      <c r="AM20" s="515"/>
    </row>
    <row r="21" spans="1:39" s="265" customFormat="1" ht="26.25" customHeight="1">
      <c r="A21" s="266"/>
      <c r="B21" s="276" t="s">
        <v>23</v>
      </c>
      <c r="C21" s="526">
        <f>'4. ECG-Matrix'!O9</f>
        <v>0</v>
      </c>
      <c r="D21" s="277" t="str">
        <f>'12.lan'!$D$214</f>
        <v xml:space="preserve"> von </v>
      </c>
      <c r="E21" s="278">
        <f>'4. ECG-Matrix'!Q9</f>
        <v>25.641025641025639</v>
      </c>
      <c r="F21" s="505">
        <f t="shared" si="0"/>
        <v>0</v>
      </c>
      <c r="G21" s="74">
        <f t="shared" si="1"/>
        <v>0</v>
      </c>
      <c r="AH21" s="516"/>
      <c r="AI21" s="515"/>
      <c r="AM21" s="515"/>
    </row>
    <row r="22" spans="1:39" s="265" customFormat="1" ht="26.25" customHeight="1">
      <c r="A22" s="266"/>
      <c r="B22" s="276" t="s">
        <v>27</v>
      </c>
      <c r="C22" s="526">
        <f>'4. ECG-Matrix'!C11</f>
        <v>0</v>
      </c>
      <c r="D22" s="277" t="str">
        <f>'12.lan'!$D$214</f>
        <v xml:space="preserve"> von </v>
      </c>
      <c r="E22" s="278">
        <f>'4. ECG-Matrix'!E11</f>
        <v>51.282051282051277</v>
      </c>
      <c r="F22" s="505">
        <f t="shared" si="0"/>
        <v>0</v>
      </c>
      <c r="G22" s="74">
        <f t="shared" si="1"/>
        <v>0</v>
      </c>
      <c r="AH22" s="516"/>
      <c r="AI22" s="515"/>
      <c r="AM22" s="515"/>
    </row>
    <row r="23" spans="1:39" s="265" customFormat="1" ht="26.25" customHeight="1">
      <c r="A23" s="266"/>
      <c r="B23" s="276" t="s">
        <v>31</v>
      </c>
      <c r="C23" s="526">
        <f>'4. ECG-Matrix'!G11</f>
        <v>0</v>
      </c>
      <c r="D23" s="277" t="str">
        <f>'12.lan'!$D$214</f>
        <v xml:space="preserve"> von </v>
      </c>
      <c r="E23" s="278">
        <f>'4. ECG-Matrix'!I11</f>
        <v>51.282051282051277</v>
      </c>
      <c r="F23" s="505">
        <f t="shared" si="0"/>
        <v>0</v>
      </c>
      <c r="G23" s="74">
        <f t="shared" si="1"/>
        <v>0</v>
      </c>
      <c r="AH23" s="516"/>
      <c r="AI23" s="515"/>
      <c r="AM23" s="515"/>
    </row>
    <row r="24" spans="1:39" s="265" customFormat="1" ht="26.25" customHeight="1">
      <c r="A24" s="266"/>
      <c r="B24" s="276" t="s">
        <v>34</v>
      </c>
      <c r="C24" s="526">
        <f>'4. ECG-Matrix'!K11</f>
        <v>0</v>
      </c>
      <c r="D24" s="277" t="str">
        <f>'12.lan'!$D$214</f>
        <v xml:space="preserve"> von </v>
      </c>
      <c r="E24" s="278">
        <f>'4. ECG-Matrix'!M11</f>
        <v>51.282051282051277</v>
      </c>
      <c r="F24" s="505">
        <f t="shared" si="0"/>
        <v>0</v>
      </c>
      <c r="G24" s="74">
        <f t="shared" si="1"/>
        <v>0</v>
      </c>
      <c r="AH24" s="516"/>
      <c r="AI24" s="515"/>
      <c r="AM24" s="515"/>
    </row>
    <row r="25" spans="1:39" s="265" customFormat="1" ht="26.25" customHeight="1">
      <c r="A25" s="266"/>
      <c r="B25" s="276" t="s">
        <v>38</v>
      </c>
      <c r="C25" s="526">
        <f>'4. ECG-Matrix'!O11</f>
        <v>0</v>
      </c>
      <c r="D25" s="277" t="str">
        <f>'12.lan'!$D$214</f>
        <v xml:space="preserve"> von </v>
      </c>
      <c r="E25" s="278">
        <f>'4. ECG-Matrix'!Q11</f>
        <v>51.282051282051277</v>
      </c>
      <c r="F25" s="505">
        <f t="shared" si="0"/>
        <v>0</v>
      </c>
      <c r="G25" s="74">
        <f t="shared" si="1"/>
        <v>0</v>
      </c>
      <c r="AH25" s="516"/>
      <c r="AI25" s="515"/>
      <c r="AM25" s="515"/>
    </row>
    <row r="26" spans="1:39" s="265" customFormat="1" ht="26.25" customHeight="1">
      <c r="A26" s="266"/>
      <c r="B26" s="276" t="s">
        <v>42</v>
      </c>
      <c r="C26" s="526">
        <f>'4. ECG-Matrix'!C13</f>
        <v>0</v>
      </c>
      <c r="D26" s="277" t="str">
        <f>'12.lan'!$D$214</f>
        <v xml:space="preserve"> von </v>
      </c>
      <c r="E26" s="278">
        <f>'4. ECG-Matrix'!E13</f>
        <v>51.282051282051277</v>
      </c>
      <c r="F26" s="505">
        <f t="shared" si="0"/>
        <v>0</v>
      </c>
      <c r="G26" s="74">
        <f t="shared" si="1"/>
        <v>0</v>
      </c>
      <c r="AH26" s="516"/>
      <c r="AI26" s="515"/>
      <c r="AM26" s="515"/>
    </row>
    <row r="27" spans="1:39" s="265" customFormat="1" ht="26.25" customHeight="1">
      <c r="A27" s="266"/>
      <c r="B27" s="276" t="s">
        <v>47</v>
      </c>
      <c r="C27" s="526">
        <f>'4. ECG-Matrix'!G13</f>
        <v>0</v>
      </c>
      <c r="D27" s="277" t="str">
        <f>'12.lan'!$D$214</f>
        <v xml:space="preserve"> von </v>
      </c>
      <c r="E27" s="278">
        <f>'4. ECG-Matrix'!I13</f>
        <v>51.282051282051277</v>
      </c>
      <c r="F27" s="505">
        <f t="shared" si="0"/>
        <v>0</v>
      </c>
      <c r="G27" s="74">
        <f t="shared" si="1"/>
        <v>0</v>
      </c>
      <c r="AH27" s="516"/>
      <c r="AI27" s="515"/>
      <c r="AM27" s="515"/>
    </row>
    <row r="28" spans="1:39" s="265" customFormat="1" ht="26.25" customHeight="1">
      <c r="A28" s="266"/>
      <c r="B28" s="276" t="s">
        <v>52</v>
      </c>
      <c r="C28" s="526">
        <f>'4. ECG-Matrix'!K13</f>
        <v>0</v>
      </c>
      <c r="D28" s="277" t="str">
        <f>'12.lan'!$D$214</f>
        <v xml:space="preserve"> von </v>
      </c>
      <c r="E28" s="278">
        <f>'4. ECG-Matrix'!M13</f>
        <v>51.282051282051277</v>
      </c>
      <c r="F28" s="505">
        <f t="shared" si="0"/>
        <v>0</v>
      </c>
      <c r="G28" s="74">
        <f t="shared" si="1"/>
        <v>0</v>
      </c>
      <c r="AH28" s="516"/>
      <c r="AI28" s="515"/>
      <c r="AM28" s="515"/>
    </row>
    <row r="29" spans="1:39" s="265" customFormat="1" ht="26.25" customHeight="1">
      <c r="A29" s="266"/>
      <c r="B29" s="276" t="s">
        <v>57</v>
      </c>
      <c r="C29" s="526">
        <f>'4. ECG-Matrix'!O13</f>
        <v>0</v>
      </c>
      <c r="D29" s="277" t="str">
        <f>'12.lan'!$D$214</f>
        <v xml:space="preserve"> von </v>
      </c>
      <c r="E29" s="278">
        <f>'4. ECG-Matrix'!Q13</f>
        <v>51.282051282051277</v>
      </c>
      <c r="F29" s="505">
        <f t="shared" si="0"/>
        <v>0</v>
      </c>
      <c r="G29" s="74">
        <f t="shared" si="1"/>
        <v>0</v>
      </c>
      <c r="AH29" s="516"/>
      <c r="AI29" s="515"/>
      <c r="AM29" s="515"/>
    </row>
    <row r="30" spans="1:39" s="265" customFormat="1" ht="26.25" customHeight="1">
      <c r="A30" s="266"/>
      <c r="B30" s="276" t="s">
        <v>63</v>
      </c>
      <c r="C30" s="526">
        <f>'4. ECG-Matrix'!C15</f>
        <v>0</v>
      </c>
      <c r="D30" s="277" t="str">
        <f>'12.lan'!$D$214</f>
        <v xml:space="preserve"> von </v>
      </c>
      <c r="E30" s="278">
        <f>'4. ECG-Matrix'!E15</f>
        <v>51.282051282051277</v>
      </c>
      <c r="F30" s="505">
        <f t="shared" si="0"/>
        <v>0</v>
      </c>
      <c r="G30" s="74">
        <f t="shared" si="1"/>
        <v>0</v>
      </c>
      <c r="AH30" s="516"/>
      <c r="AI30" s="515"/>
      <c r="AM30" s="515"/>
    </row>
    <row r="31" spans="1:39" s="265" customFormat="1" ht="26.25" customHeight="1">
      <c r="A31" s="266"/>
      <c r="B31" s="276" t="s">
        <v>67</v>
      </c>
      <c r="C31" s="526">
        <f>'4. ECG-Matrix'!G15</f>
        <v>0</v>
      </c>
      <c r="D31" s="277" t="str">
        <f>'12.lan'!$D$214</f>
        <v xml:space="preserve"> von </v>
      </c>
      <c r="E31" s="278">
        <f>'4. ECG-Matrix'!I15</f>
        <v>51.282051282051277</v>
      </c>
      <c r="F31" s="505">
        <f t="shared" si="0"/>
        <v>0</v>
      </c>
      <c r="G31" s="74">
        <f t="shared" si="1"/>
        <v>0</v>
      </c>
      <c r="AH31" s="516"/>
      <c r="AI31" s="515"/>
      <c r="AM31" s="515"/>
    </row>
    <row r="32" spans="1:39" s="265" customFormat="1" ht="26.25" customHeight="1">
      <c r="A32" s="266"/>
      <c r="B32" s="276" t="s">
        <v>71</v>
      </c>
      <c r="C32" s="526">
        <f>'4. ECG-Matrix'!K15</f>
        <v>0</v>
      </c>
      <c r="D32" s="277" t="str">
        <f>'12.lan'!$D$214</f>
        <v xml:space="preserve"> von </v>
      </c>
      <c r="E32" s="278">
        <f>'4. ECG-Matrix'!M15</f>
        <v>51.282051282051277</v>
      </c>
      <c r="F32" s="505">
        <f t="shared" si="0"/>
        <v>0</v>
      </c>
      <c r="G32" s="74">
        <f t="shared" si="1"/>
        <v>0</v>
      </c>
      <c r="AH32" s="516"/>
      <c r="AI32" s="515"/>
      <c r="AM32" s="515"/>
    </row>
    <row r="33" spans="1:39" s="265" customFormat="1" ht="26.25" customHeight="1">
      <c r="A33" s="266"/>
      <c r="B33" s="276" t="s">
        <v>75</v>
      </c>
      <c r="C33" s="526">
        <f>'4. ECG-Matrix'!O15</f>
        <v>0</v>
      </c>
      <c r="D33" s="277" t="str">
        <f>'12.lan'!$D$214</f>
        <v xml:space="preserve"> von </v>
      </c>
      <c r="E33" s="278">
        <f>'4. ECG-Matrix'!Q15</f>
        <v>51.282051282051277</v>
      </c>
      <c r="F33" s="505">
        <f t="shared" si="0"/>
        <v>0</v>
      </c>
      <c r="G33" s="74">
        <f t="shared" si="1"/>
        <v>0</v>
      </c>
      <c r="AH33" s="516"/>
      <c r="AI33" s="515"/>
      <c r="AM33" s="515"/>
    </row>
    <row r="34" spans="1:39" s="265" customFormat="1" ht="26.25" customHeight="1">
      <c r="A34" s="266"/>
      <c r="B34" s="276" t="s">
        <v>79</v>
      </c>
      <c r="C34" s="526">
        <f>'4. ECG-Matrix'!C17</f>
        <v>0</v>
      </c>
      <c r="D34" s="277" t="str">
        <f>'12.lan'!$D$214</f>
        <v xml:space="preserve"> von </v>
      </c>
      <c r="E34" s="278">
        <f>'4. ECG-Matrix'!E17</f>
        <v>51.282051282051277</v>
      </c>
      <c r="F34" s="505">
        <f t="shared" si="0"/>
        <v>0</v>
      </c>
      <c r="G34" s="74">
        <f t="shared" si="1"/>
        <v>0</v>
      </c>
      <c r="AH34" s="516"/>
      <c r="AI34" s="515"/>
      <c r="AM34" s="515"/>
    </row>
    <row r="35" spans="1:39" s="265" customFormat="1" ht="26.25" customHeight="1">
      <c r="A35" s="266"/>
      <c r="B35" s="276" t="s">
        <v>83</v>
      </c>
      <c r="C35" s="526">
        <f>'4. ECG-Matrix'!G17</f>
        <v>0</v>
      </c>
      <c r="D35" s="277" t="str">
        <f>'12.lan'!$D$214</f>
        <v xml:space="preserve"> von </v>
      </c>
      <c r="E35" s="278">
        <f>'4. ECG-Matrix'!I17</f>
        <v>51.282051282051277</v>
      </c>
      <c r="F35" s="505">
        <f t="shared" si="0"/>
        <v>0</v>
      </c>
      <c r="G35" s="74">
        <f t="shared" si="1"/>
        <v>0</v>
      </c>
      <c r="AH35" s="516"/>
      <c r="AI35" s="515"/>
      <c r="AM35" s="515"/>
    </row>
    <row r="36" spans="1:39" s="265" customFormat="1" ht="26.25" customHeight="1">
      <c r="A36" s="266"/>
      <c r="B36" s="276" t="s">
        <v>88</v>
      </c>
      <c r="C36" s="526">
        <f>'4. ECG-Matrix'!K17</f>
        <v>0</v>
      </c>
      <c r="D36" s="277" t="str">
        <f>'12.lan'!$D$214</f>
        <v xml:space="preserve"> von </v>
      </c>
      <c r="E36" s="278">
        <f>'4. ECG-Matrix'!M17</f>
        <v>51.282051282051277</v>
      </c>
      <c r="F36" s="505">
        <f t="shared" si="0"/>
        <v>0</v>
      </c>
      <c r="G36" s="74">
        <f t="shared" si="1"/>
        <v>0</v>
      </c>
      <c r="AH36" s="516"/>
      <c r="AI36" s="515"/>
      <c r="AM36" s="515"/>
    </row>
    <row r="37" spans="1:39" s="265" customFormat="1" ht="26.25" customHeight="1">
      <c r="A37" s="266"/>
      <c r="B37" s="276" t="s">
        <v>92</v>
      </c>
      <c r="C37" s="526">
        <f>'4. ECG-Matrix'!O17</f>
        <v>0</v>
      </c>
      <c r="D37" s="277" t="str">
        <f>'12.lan'!$D$214</f>
        <v xml:space="preserve"> von </v>
      </c>
      <c r="E37" s="278">
        <f>'4. ECG-Matrix'!Q17</f>
        <v>51.282051282051277</v>
      </c>
      <c r="F37" s="505">
        <f t="shared" si="0"/>
        <v>0</v>
      </c>
      <c r="G37" s="74">
        <f t="shared" si="1"/>
        <v>0</v>
      </c>
      <c r="AH37" s="516"/>
      <c r="AI37" s="515"/>
      <c r="AM37" s="515"/>
    </row>
    <row r="38" spans="1:39" s="265" customFormat="1" ht="30" customHeight="1">
      <c r="A38" s="266"/>
      <c r="B38" s="280" t="str">
        <f>'12.lan'!D228</f>
        <v>SUMME</v>
      </c>
      <c r="C38" s="281">
        <f>'3. Calc'!I4</f>
        <v>0</v>
      </c>
      <c r="D38" s="285" t="str">
        <f>'12.lan'!$D$214</f>
        <v xml:space="preserve"> von </v>
      </c>
      <c r="E38" s="283">
        <f>'3. Calc'!J4</f>
        <v>1000</v>
      </c>
      <c r="F38" s="506">
        <f t="shared" si="0"/>
        <v>0</v>
      </c>
      <c r="AH38" s="516"/>
    </row>
    <row r="39" spans="1:39" s="265" customFormat="1" ht="14.1" customHeight="1">
      <c r="A39" s="266"/>
      <c r="B39" s="266"/>
      <c r="C39" s="266"/>
      <c r="D39" s="267"/>
      <c r="E39" s="266"/>
      <c r="F39" s="268"/>
      <c r="AH39" s="516"/>
    </row>
  </sheetData>
  <sheetProtection algorithmName="SHA-512" hashValue="hyVZjPxN3cgHYDhWaNlLUhHbR2nMdFJAcBjbw0xUMUIGPK+63edLMwy7Vz69/tBVfPlkvmMvmaOQmmC7uZe+yA==" saltValue="LNyI81l9a7JX+Hf4EAJjMg=="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Renate</cp:lastModifiedBy>
  <dcterms:created xsi:type="dcterms:W3CDTF">2018-07-24T07:18:55Z</dcterms:created>
  <dcterms:modified xsi:type="dcterms:W3CDTF">2021-09-16T15:47:55Z</dcterms:modified>
</cp:coreProperties>
</file>